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05" yWindow="-240" windowWidth="12165" windowHeight="7365"/>
  </bookViews>
  <sheets>
    <sheet name="APBD ALL" sheetId="14" r:id="rId1"/>
  </sheets>
  <definedNames>
    <definedName name="_xlnm.Print_Titles" localSheetId="0">'APBD ALL'!$5:$7</definedName>
  </definedNames>
  <calcPr calcId="125725"/>
</workbook>
</file>

<file path=xl/calcChain.xml><?xml version="1.0" encoding="utf-8"?>
<calcChain xmlns="http://schemas.openxmlformats.org/spreadsheetml/2006/main">
  <c r="AC870" i="14"/>
  <c r="AC879"/>
  <c r="AC878"/>
  <c r="AC229"/>
  <c r="AC2049"/>
  <c r="Y2008"/>
  <c r="Z2008"/>
  <c r="Y2014"/>
  <c r="Z2014"/>
  <c r="Y1944"/>
  <c r="Z1944"/>
  <c r="AC968"/>
  <c r="AC967"/>
  <c r="AC948"/>
  <c r="AC928"/>
  <c r="AC927"/>
  <c r="AC810"/>
  <c r="AC809"/>
  <c r="AC673"/>
  <c r="AA415"/>
  <c r="AC189"/>
  <c r="AC188"/>
  <c r="AC187"/>
  <c r="AB150"/>
  <c r="AC150"/>
  <c r="AD150" s="1"/>
  <c r="Z150" s="1"/>
  <c r="AB151"/>
  <c r="Y151" s="1"/>
  <c r="AC151"/>
  <c r="AD151" s="1"/>
  <c r="Z151" s="1"/>
  <c r="Y150"/>
  <c r="AC671"/>
  <c r="AC670"/>
  <c r="AC195" l="1"/>
  <c r="AC1866"/>
  <c r="AA306"/>
  <c r="AC305"/>
  <c r="AA172"/>
  <c r="AC171"/>
  <c r="AB145"/>
  <c r="Y145" s="1"/>
  <c r="AA147"/>
  <c r="AC428"/>
  <c r="AC551"/>
  <c r="AC672"/>
  <c r="AC669"/>
  <c r="AA991"/>
  <c r="AA995"/>
  <c r="AA994"/>
  <c r="AA993"/>
  <c r="AC888"/>
  <c r="AC887"/>
  <c r="AC907"/>
  <c r="AA904"/>
  <c r="AC897"/>
  <c r="AC898"/>
  <c r="AC1017"/>
  <c r="AC1018"/>
  <c r="AC2153"/>
  <c r="AD2153" s="1"/>
  <c r="Z2153" s="1"/>
  <c r="AC860"/>
  <c r="AC859"/>
  <c r="AA281"/>
  <c r="AA637"/>
  <c r="AC351"/>
  <c r="Y350"/>
  <c r="Z350"/>
  <c r="AA348"/>
  <c r="AA352" s="1"/>
  <c r="AA527"/>
  <c r="AA529"/>
  <c r="AA165"/>
  <c r="AC165" s="1"/>
  <c r="AA164"/>
  <c r="AA162"/>
  <c r="AC329"/>
  <c r="AA586"/>
  <c r="AA583"/>
  <c r="AA385"/>
  <c r="AA382"/>
  <c r="AA386"/>
  <c r="AA384"/>
  <c r="AC2086"/>
  <c r="AC2087"/>
  <c r="AC2082"/>
  <c r="AD2082" s="1"/>
  <c r="Z2082" s="1"/>
  <c r="AB2082"/>
  <c r="Y2082" s="1"/>
  <c r="AA972"/>
  <c r="AA974"/>
  <c r="AA971"/>
  <c r="AA973"/>
  <c r="AA977"/>
  <c r="AA590"/>
  <c r="AA592"/>
  <c r="AC284"/>
  <c r="AD284" s="1"/>
  <c r="AC285"/>
  <c r="AC286"/>
  <c r="AD286" s="1"/>
  <c r="AC283"/>
  <c r="AA488"/>
  <c r="AA619"/>
  <c r="AC618"/>
  <c r="AA649"/>
  <c r="AC686"/>
  <c r="AC687"/>
  <c r="AC688"/>
  <c r="AC685"/>
  <c r="AD685" s="1"/>
  <c r="Z685" s="1"/>
  <c r="AD686"/>
  <c r="AD687"/>
  <c r="AD688"/>
  <c r="AB686"/>
  <c r="Y686" s="1"/>
  <c r="AB687"/>
  <c r="AB688"/>
  <c r="Y688" s="1"/>
  <c r="AB685"/>
  <c r="Y685" s="1"/>
  <c r="Z686"/>
  <c r="Y687"/>
  <c r="Z687"/>
  <c r="Z688"/>
  <c r="AD689"/>
  <c r="Z689" s="1"/>
  <c r="AC689"/>
  <c r="AB689"/>
  <c r="Y689"/>
  <c r="AC402"/>
  <c r="AC558"/>
  <c r="AA557"/>
  <c r="AC557" s="1"/>
  <c r="AA554"/>
  <c r="AA621"/>
  <c r="AA624"/>
  <c r="AA498"/>
  <c r="AA497"/>
  <c r="AA2124"/>
  <c r="AC2124" s="1"/>
  <c r="AA2125"/>
  <c r="AC2125" s="1"/>
  <c r="AA2126"/>
  <c r="AC2126" s="1"/>
  <c r="AA2123"/>
  <c r="AC260"/>
  <c r="AC262"/>
  <c r="AA263"/>
  <c r="AC261"/>
  <c r="AA2066"/>
  <c r="AC2065"/>
  <c r="AA460"/>
  <c r="AA465" s="1"/>
  <c r="AC464"/>
  <c r="AC2076"/>
  <c r="AC2077"/>
  <c r="AC2079"/>
  <c r="AA2078"/>
  <c r="AC2078" s="1"/>
  <c r="AA2094"/>
  <c r="AC2093"/>
  <c r="Y1428"/>
  <c r="Z1428"/>
  <c r="AC1424"/>
  <c r="AC1427"/>
  <c r="AC1428"/>
  <c r="AC1429"/>
  <c r="AC1430"/>
  <c r="AC1431"/>
  <c r="AC1432"/>
  <c r="AC1433"/>
  <c r="AC1434"/>
  <c r="AC1435"/>
  <c r="AC1436"/>
  <c r="AA1426"/>
  <c r="AC1426" s="1"/>
  <c r="AA1425"/>
  <c r="AC1425" s="1"/>
  <c r="AA1423"/>
  <c r="AC1423" s="1"/>
  <c r="AC519"/>
  <c r="AA338"/>
  <c r="AA342" s="1"/>
  <c r="AA225"/>
  <c r="AA224"/>
  <c r="Y297"/>
  <c r="Z297"/>
  <c r="AA299"/>
  <c r="AC296"/>
  <c r="AC297"/>
  <c r="AC298"/>
  <c r="AC295"/>
  <c r="AA799"/>
  <c r="AA1923"/>
  <c r="AB1920"/>
  <c r="AC1920"/>
  <c r="AD1920" s="1"/>
  <c r="AC1914"/>
  <c r="AB1914"/>
  <c r="AA1970"/>
  <c r="AC1961"/>
  <c r="AB1961"/>
  <c r="Y1961" s="1"/>
  <c r="AA916"/>
  <c r="AA917"/>
  <c r="AA918"/>
  <c r="AA912"/>
  <c r="AA911"/>
  <c r="AA915"/>
  <c r="AB915"/>
  <c r="AA914"/>
  <c r="AA913"/>
  <c r="AA580"/>
  <c r="AA579"/>
  <c r="AA578"/>
  <c r="AA575"/>
  <c r="AA243"/>
  <c r="AC2106"/>
  <c r="AD2106" s="1"/>
  <c r="Z2106" s="1"/>
  <c r="AA2107"/>
  <c r="AB2104"/>
  <c r="AB2105"/>
  <c r="AB2106"/>
  <c r="Y2106" s="1"/>
  <c r="AB2103"/>
  <c r="AA1999"/>
  <c r="AC2000"/>
  <c r="AA2000"/>
  <c r="AB2000" s="1"/>
  <c r="Y2000" s="1"/>
  <c r="AC1995"/>
  <c r="AD1995" s="1"/>
  <c r="AC2001"/>
  <c r="AB1995"/>
  <c r="AA361"/>
  <c r="AA360"/>
  <c r="AA359"/>
  <c r="AA409"/>
  <c r="AA410" s="1"/>
  <c r="AA2027"/>
  <c r="AC2018"/>
  <c r="AB2018"/>
  <c r="AC2024"/>
  <c r="AD2024" s="1"/>
  <c r="Z2024" s="1"/>
  <c r="AB2021"/>
  <c r="Y2021" s="1"/>
  <c r="AB2022"/>
  <c r="Y2022" s="1"/>
  <c r="AB2023"/>
  <c r="Y2023" s="1"/>
  <c r="AB2024"/>
  <c r="Y2024" s="1"/>
  <c r="AB2026"/>
  <c r="Y2026" s="1"/>
  <c r="AC1513"/>
  <c r="AC1514"/>
  <c r="AC1515"/>
  <c r="AC1516"/>
  <c r="AC839"/>
  <c r="AC840"/>
  <c r="AC2507"/>
  <c r="AB2512"/>
  <c r="AC2512"/>
  <c r="AD2512" s="1"/>
  <c r="AC2511"/>
  <c r="AB2483"/>
  <c r="AC2483"/>
  <c r="AD2483" s="1"/>
  <c r="AA2080" l="1"/>
  <c r="AA166"/>
  <c r="AA2004"/>
  <c r="AD1961"/>
  <c r="AD1914"/>
  <c r="AC299"/>
  <c r="AC409"/>
  <c r="AD2018"/>
  <c r="AA605"/>
  <c r="AA603"/>
  <c r="AA602"/>
  <c r="AC947"/>
  <c r="AC267"/>
  <c r="AC268"/>
  <c r="AC269"/>
  <c r="Y658"/>
  <c r="AA658"/>
  <c r="AC657"/>
  <c r="AC958"/>
  <c r="AC957"/>
  <c r="AC820"/>
  <c r="AC819"/>
  <c r="Z1961" l="1"/>
  <c r="AC869"/>
  <c r="AB1704" l="1"/>
  <c r="AA1942"/>
  <c r="AA2041"/>
  <c r="AC2031"/>
  <c r="AD2031" s="1"/>
  <c r="Z2031" s="1"/>
  <c r="AC2032"/>
  <c r="AD2032" s="1"/>
  <c r="Z2032" s="1"/>
  <c r="AB2031"/>
  <c r="Y2031" s="1"/>
  <c r="AB2032"/>
  <c r="Y2032" s="1"/>
  <c r="AC2038"/>
  <c r="AD2038"/>
  <c r="Z2038" s="1"/>
  <c r="AB2035"/>
  <c r="AB2036"/>
  <c r="AB2037"/>
  <c r="AB2038"/>
  <c r="Y2038" s="1"/>
  <c r="AB2040"/>
  <c r="AB2034"/>
  <c r="Z1804"/>
  <c r="Y1804"/>
  <c r="AA431"/>
  <c r="AA1673"/>
  <c r="AA420" l="1"/>
  <c r="AA419"/>
  <c r="AA369"/>
  <c r="AC368"/>
  <c r="AA2052"/>
  <c r="AC2043"/>
  <c r="AD2043" s="1"/>
  <c r="AB2043"/>
  <c r="AA572"/>
  <c r="AA569"/>
  <c r="AA1981" l="1"/>
  <c r="AC1980"/>
  <c r="AB1972"/>
  <c r="AC1972"/>
  <c r="AC1975"/>
  <c r="AC1976"/>
  <c r="AC1977"/>
  <c r="AC1978"/>
  <c r="AC1850"/>
  <c r="AC1849"/>
  <c r="AA183"/>
  <c r="AC255"/>
  <c r="AA256"/>
  <c r="AC345"/>
  <c r="AD345" s="1"/>
  <c r="Z345" s="1"/>
  <c r="AC344"/>
  <c r="AC938"/>
  <c r="AC937"/>
  <c r="AA1787"/>
  <c r="AC1786"/>
  <c r="AA437"/>
  <c r="AB1950"/>
  <c r="Y1950" s="1"/>
  <c r="AB1949"/>
  <c r="AC1950"/>
  <c r="AD1950" s="1"/>
  <c r="Z1950" s="1"/>
  <c r="AC1956"/>
  <c r="AD1972" l="1"/>
  <c r="AC324"/>
  <c r="AA2073"/>
  <c r="AC2072"/>
  <c r="Y989" l="1"/>
  <c r="AA1912"/>
  <c r="K1912"/>
  <c r="AA567" l="1"/>
  <c r="AC566"/>
  <c r="AA213"/>
  <c r="AA212"/>
  <c r="AA210"/>
  <c r="AA2143"/>
  <c r="AC2147"/>
  <c r="AC1261" l="1"/>
  <c r="AC1260"/>
  <c r="AC1259"/>
  <c r="AC1257"/>
  <c r="AC1256"/>
  <c r="AC1255"/>
  <c r="AC1254"/>
  <c r="AC1253"/>
  <c r="AC1252"/>
  <c r="AC1250"/>
  <c r="AC1249"/>
  <c r="AC1248"/>
  <c r="AC1247"/>
  <c r="AC1246"/>
  <c r="AC1245"/>
  <c r="AC1244"/>
  <c r="AC1241"/>
  <c r="AC1240"/>
  <c r="AC1239"/>
  <c r="AC1237"/>
  <c r="AC1236"/>
  <c r="AC1234"/>
  <c r="AC1233"/>
  <c r="AC1232"/>
  <c r="AB1183"/>
  <c r="AA660" l="1"/>
  <c r="AC660" s="1"/>
  <c r="AC1772"/>
  <c r="AC1771"/>
  <c r="AA2101"/>
  <c r="AC2100"/>
  <c r="Z777"/>
  <c r="AB783"/>
  <c r="AB784"/>
  <c r="AB785"/>
  <c r="AB786"/>
  <c r="AB787"/>
  <c r="AB782"/>
  <c r="AB770"/>
  <c r="AB771"/>
  <c r="AB772"/>
  <c r="AB773"/>
  <c r="AB774"/>
  <c r="Z774" s="1"/>
  <c r="AB775"/>
  <c r="Z775" s="1"/>
  <c r="AB776"/>
  <c r="Z776" s="1"/>
  <c r="AB778"/>
  <c r="Z778" s="1"/>
  <c r="AB779"/>
  <c r="Z779" s="1"/>
  <c r="AB780"/>
  <c r="Z780" s="1"/>
  <c r="AB769"/>
  <c r="AA1845"/>
  <c r="AA2114"/>
  <c r="AC2110"/>
  <c r="AC2111"/>
  <c r="AC2112"/>
  <c r="AC2113"/>
  <c r="AD2110"/>
  <c r="AD2111"/>
  <c r="AD2112"/>
  <c r="AD2113"/>
  <c r="AB2110"/>
  <c r="Z2110" s="1"/>
  <c r="AB2111"/>
  <c r="Z2111" s="1"/>
  <c r="AB2112"/>
  <c r="Z2112" s="1"/>
  <c r="AB2113"/>
  <c r="Z2113" s="1"/>
  <c r="AB2109"/>
  <c r="Z2109" s="1"/>
  <c r="AC1626"/>
  <c r="Z2190"/>
  <c r="Y2190"/>
  <c r="AA1489"/>
  <c r="AC1500"/>
  <c r="AC1499"/>
  <c r="AC1498"/>
  <c r="AC1497"/>
  <c r="AC1496"/>
  <c r="AC1347" l="1"/>
  <c r="AC1323"/>
  <c r="AC1322"/>
  <c r="AC1342"/>
  <c r="AA2116" l="1"/>
  <c r="Y1420"/>
  <c r="Z768"/>
  <c r="Y768"/>
  <c r="Z2141"/>
  <c r="Y2141"/>
  <c r="AA1024"/>
  <c r="AA1023"/>
  <c r="AA1025"/>
  <c r="AA1021"/>
  <c r="Z1901"/>
  <c r="Y1901"/>
  <c r="AC104" l="1"/>
  <c r="AC103"/>
  <c r="AC102"/>
  <c r="AC101"/>
  <c r="AC100"/>
  <c r="AC99"/>
  <c r="AC86"/>
  <c r="AC29"/>
  <c r="AC28"/>
  <c r="AB2133"/>
  <c r="Y2133" s="1"/>
  <c r="AC2133"/>
  <c r="AD2133" s="1"/>
  <c r="Z2133" s="1"/>
  <c r="AA2131"/>
  <c r="AA2134" s="1"/>
  <c r="AC747"/>
  <c r="AC711"/>
  <c r="AC762"/>
  <c r="AC761"/>
  <c r="AC746"/>
  <c r="AC745"/>
  <c r="AC749"/>
  <c r="AC737"/>
  <c r="AC748"/>
  <c r="AC703"/>
  <c r="AC750"/>
  <c r="AC374" l="1"/>
  <c r="AA371"/>
  <c r="AA375" s="1"/>
  <c r="AA373"/>
  <c r="AB1416"/>
  <c r="AC1416"/>
  <c r="AD1416" s="1"/>
  <c r="AB1409" l="1"/>
  <c r="AB2369"/>
  <c r="AA2373"/>
  <c r="AA2374"/>
  <c r="AA2375"/>
  <c r="AA2376"/>
  <c r="AA2377"/>
  <c r="AA2378"/>
  <c r="AA2379"/>
  <c r="AA2380"/>
  <c r="AA2381"/>
  <c r="AA2382"/>
  <c r="AA2383"/>
  <c r="AA2384"/>
  <c r="AA2385"/>
  <c r="AA2386"/>
  <c r="AA2387"/>
  <c r="AA2388"/>
  <c r="AA2389"/>
  <c r="AA2390"/>
  <c r="AA2372"/>
  <c r="AC2392"/>
  <c r="AA2333"/>
  <c r="AB2333" s="1"/>
  <c r="AA2334"/>
  <c r="AB2334" s="1"/>
  <c r="AA2335"/>
  <c r="AB2335" s="1"/>
  <c r="AA2336"/>
  <c r="AB2336" s="1"/>
  <c r="AA2337"/>
  <c r="AB2337" s="1"/>
  <c r="AA2338"/>
  <c r="AB2338" s="1"/>
  <c r="AA2339"/>
  <c r="AB2339" s="1"/>
  <c r="AA2340"/>
  <c r="AB2340" s="1"/>
  <c r="AA2341"/>
  <c r="AB2341" s="1"/>
  <c r="AA2342"/>
  <c r="AB2342" s="1"/>
  <c r="AA2343"/>
  <c r="AB2343" s="1"/>
  <c r="AA2344"/>
  <c r="AB2344" s="1"/>
  <c r="AA2345"/>
  <c r="AB2345" s="1"/>
  <c r="AA2346"/>
  <c r="AB2346" s="1"/>
  <c r="AA2347"/>
  <c r="AB2347" s="1"/>
  <c r="AA2348"/>
  <c r="AB2348" s="1"/>
  <c r="AA2349"/>
  <c r="AB2349" s="1"/>
  <c r="AA2350"/>
  <c r="AB2350" s="1"/>
  <c r="AA2351"/>
  <c r="AB2351" s="1"/>
  <c r="AA2352"/>
  <c r="AB2352" s="1"/>
  <c r="AA2353"/>
  <c r="AB2353" s="1"/>
  <c r="AA2354"/>
  <c r="AB2354" s="1"/>
  <c r="AA2355"/>
  <c r="AB2355" s="1"/>
  <c r="AA2356"/>
  <c r="AB2356" s="1"/>
  <c r="AA2357"/>
  <c r="AB2357" s="1"/>
  <c r="AA2358"/>
  <c r="AB2358" s="1"/>
  <c r="AA2332"/>
  <c r="AB2332" s="1"/>
  <c r="AB1380"/>
  <c r="AC1380"/>
  <c r="AD1380" s="1"/>
  <c r="AB1379"/>
  <c r="AC1379"/>
  <c r="AD1379" s="1"/>
  <c r="AB1369"/>
  <c r="AC1369"/>
  <c r="AD1369" s="1"/>
  <c r="AB1368"/>
  <c r="AC1368"/>
  <c r="AD1368" s="1"/>
  <c r="AC1391"/>
  <c r="AC1389"/>
  <c r="AC1355"/>
  <c r="AB2510" l="1"/>
  <c r="AC1533" l="1"/>
  <c r="AC1534"/>
  <c r="AC1535"/>
  <c r="AC807" l="1"/>
  <c r="AA1294"/>
  <c r="AC1222"/>
  <c r="AC1227"/>
  <c r="AC1228"/>
  <c r="AC1229"/>
  <c r="AC1231"/>
  <c r="AC1235"/>
  <c r="AC1238"/>
  <c r="AC1242"/>
  <c r="AC1243"/>
  <c r="AC1251"/>
  <c r="AC1258"/>
  <c r="AC1265"/>
  <c r="AC65"/>
  <c r="AC67"/>
  <c r="AC81"/>
  <c r="AC87"/>
  <c r="AC89"/>
  <c r="AC88"/>
  <c r="AA137"/>
  <c r="AC136"/>
  <c r="AC135"/>
  <c r="AC85"/>
  <c r="AC84"/>
  <c r="AC83"/>
  <c r="AC80"/>
  <c r="AC77"/>
  <c r="AC57"/>
  <c r="AC56"/>
  <c r="AC48"/>
  <c r="AC47"/>
  <c r="AC27"/>
  <c r="AC26"/>
  <c r="AC24"/>
  <c r="AC2446"/>
  <c r="AC2445"/>
  <c r="AC2441"/>
  <c r="AC2438"/>
  <c r="AC2437"/>
  <c r="AC2426"/>
  <c r="AC2415"/>
  <c r="AC2414"/>
  <c r="AC2409"/>
  <c r="AC2408"/>
  <c r="AC2419"/>
  <c r="AC2420"/>
  <c r="AC2418"/>
  <c r="AB1761"/>
  <c r="AC1761"/>
  <c r="AD1761" s="1"/>
  <c r="AA2190"/>
  <c r="AB2189"/>
  <c r="AB2177"/>
  <c r="AD1843" l="1"/>
  <c r="AB1843"/>
  <c r="AB2214"/>
  <c r="Y2214" s="1"/>
  <c r="AC2223"/>
  <c r="AD2223" s="1"/>
  <c r="Z2223" s="1"/>
  <c r="AC2214"/>
  <c r="AD2214" s="1"/>
  <c r="AC2215"/>
  <c r="AC2209"/>
  <c r="AD2209" s="1"/>
  <c r="AC2210"/>
  <c r="AD2210" s="1"/>
  <c r="AC2211"/>
  <c r="AD2211" s="1"/>
  <c r="AC2212"/>
  <c r="AD2212" s="1"/>
  <c r="AC2213"/>
  <c r="AB2213"/>
  <c r="Y2213" s="1"/>
  <c r="Z2214"/>
  <c r="AD2213"/>
  <c r="AB2217"/>
  <c r="AB2218"/>
  <c r="AB2219"/>
  <c r="AB2220"/>
  <c r="AB2221"/>
  <c r="AB2222"/>
  <c r="AB2223"/>
  <c r="Y2223" s="1"/>
  <c r="AB2216"/>
  <c r="AB2201"/>
  <c r="AB2202"/>
  <c r="AB2203"/>
  <c r="AB2204"/>
  <c r="AB2205"/>
  <c r="AB2206"/>
  <c r="AB2207"/>
  <c r="AB2208"/>
  <c r="AB2209"/>
  <c r="Z2209" s="1"/>
  <c r="AB2210"/>
  <c r="Z2210" s="1"/>
  <c r="AB2211"/>
  <c r="Z2211" s="1"/>
  <c r="AB2212"/>
  <c r="Z2212" s="1"/>
  <c r="AB2200"/>
  <c r="AB2194"/>
  <c r="AB2195"/>
  <c r="AB2196"/>
  <c r="AB2197"/>
  <c r="AB2198"/>
  <c r="AB2193"/>
  <c r="Z1643"/>
  <c r="AA1901"/>
  <c r="AB1900"/>
  <c r="AC1900"/>
  <c r="AD1900" s="1"/>
  <c r="AC2123"/>
  <c r="AA2059"/>
  <c r="AC2058"/>
  <c r="AA2141"/>
  <c r="AC2140"/>
  <c r="AC1871"/>
  <c r="AD1871" s="1"/>
  <c r="Z1871" s="1"/>
  <c r="AB1871"/>
  <c r="Y1871" s="1"/>
  <c r="AC1990"/>
  <c r="AB2224" l="1"/>
  <c r="Z2213"/>
  <c r="AA2250"/>
  <c r="AB2249"/>
  <c r="AC2249"/>
  <c r="AD2249" s="1"/>
  <c r="Z2249" s="1"/>
  <c r="Y2249"/>
  <c r="K2250"/>
  <c r="AA2121"/>
  <c r="AC2120"/>
  <c r="K790"/>
  <c r="K781"/>
  <c r="K768"/>
  <c r="AC2274"/>
  <c r="AD2274" s="1"/>
  <c r="AB2281"/>
  <c r="AC2281"/>
  <c r="AD2281" s="1"/>
  <c r="AC2071" l="1"/>
  <c r="AC2070"/>
  <c r="AC2069"/>
  <c r="AC2068"/>
  <c r="AC2073" l="1"/>
  <c r="AC1704"/>
  <c r="AD1704" s="1"/>
  <c r="AB254" l="1"/>
  <c r="AC114"/>
  <c r="AB355" l="1"/>
  <c r="AB356"/>
  <c r="Z1830"/>
  <c r="Y1830"/>
  <c r="AC2030" l="1"/>
  <c r="AB2030"/>
  <c r="AB2151"/>
  <c r="AB2152"/>
  <c r="AB2153"/>
  <c r="Y2153" s="1"/>
  <c r="AB2150"/>
  <c r="AB2474"/>
  <c r="AC2474"/>
  <c r="AD2474" s="1"/>
  <c r="AB2473"/>
  <c r="AC2473"/>
  <c r="AD2473" s="1"/>
  <c r="AB2472"/>
  <c r="AC2472"/>
  <c r="AD2472" s="1"/>
  <c r="AC2466"/>
  <c r="AB2497"/>
  <c r="AC2497"/>
  <c r="AD2497" s="1"/>
  <c r="AB2154" l="1"/>
  <c r="AD2030"/>
  <c r="AB2041"/>
  <c r="Y2030"/>
  <c r="Z2030" l="1"/>
  <c r="AB1172"/>
  <c r="AC1169"/>
  <c r="AC1170"/>
  <c r="AC1171"/>
  <c r="AC1172"/>
  <c r="AC1173"/>
  <c r="AC1174"/>
  <c r="AC1175"/>
  <c r="AC1176"/>
  <c r="AC1177"/>
  <c r="AC1178"/>
  <c r="AC1179"/>
  <c r="AC1168"/>
  <c r="K1294"/>
  <c r="AC1184"/>
  <c r="AC1183"/>
  <c r="AC1154"/>
  <c r="AA765"/>
  <c r="AC731"/>
  <c r="Y2449" l="1"/>
  <c r="AA2449"/>
  <c r="AC2448"/>
  <c r="AC2447"/>
  <c r="AA1376"/>
  <c r="AD2189" l="1"/>
  <c r="AD2177"/>
  <c r="AC79"/>
  <c r="AB2314" l="1"/>
  <c r="AC2314"/>
  <c r="AD2314" s="1"/>
  <c r="K2295"/>
  <c r="AC1587" l="1"/>
  <c r="AC1588"/>
  <c r="AC1594"/>
  <c r="AC1595"/>
  <c r="AC1598"/>
  <c r="AC1599"/>
  <c r="Y1572"/>
  <c r="Z1572"/>
  <c r="Y1574"/>
  <c r="Z1574"/>
  <c r="Y1589"/>
  <c r="Z1589"/>
  <c r="Y1591"/>
  <c r="Z1591"/>
  <c r="Y1596"/>
  <c r="Z1596"/>
  <c r="AA2513" l="1"/>
  <c r="AD2404"/>
  <c r="AD2406"/>
  <c r="AD2407"/>
  <c r="AD2408"/>
  <c r="AD2409"/>
  <c r="AB2413"/>
  <c r="AB2414"/>
  <c r="AB2415"/>
  <c r="AB2412"/>
  <c r="AB2404"/>
  <c r="AB2405"/>
  <c r="AB2406"/>
  <c r="AB2407"/>
  <c r="AB2408"/>
  <c r="AB2409"/>
  <c r="AD2403"/>
  <c r="AB2403"/>
  <c r="AB2399"/>
  <c r="Y2400"/>
  <c r="Z2295"/>
  <c r="Y2295"/>
  <c r="AB2228"/>
  <c r="AB2229"/>
  <c r="AB2230"/>
  <c r="AB2232"/>
  <c r="AB2233"/>
  <c r="AB2234"/>
  <c r="AB2235"/>
  <c r="AB2236"/>
  <c r="AB2237"/>
  <c r="AB2239"/>
  <c r="AB2240"/>
  <c r="AB2241"/>
  <c r="AB2242"/>
  <c r="AB2243"/>
  <c r="AB2244"/>
  <c r="AB2245"/>
  <c r="AB2246"/>
  <c r="AB2247"/>
  <c r="AB2248"/>
  <c r="AB2227"/>
  <c r="AA2224"/>
  <c r="AD2147"/>
  <c r="Z2147" s="1"/>
  <c r="AB2144"/>
  <c r="Y2144" s="1"/>
  <c r="AB2146"/>
  <c r="Y2146" s="1"/>
  <c r="AB2147"/>
  <c r="Y2147" s="1"/>
  <c r="AD2140"/>
  <c r="AB2137"/>
  <c r="AB2138"/>
  <c r="AB2139"/>
  <c r="AB2140"/>
  <c r="AB2136"/>
  <c r="Y2127"/>
  <c r="Z2127"/>
  <c r="AC2127"/>
  <c r="AD2124"/>
  <c r="AD2125"/>
  <c r="AD2126"/>
  <c r="AD2123"/>
  <c r="AB2124"/>
  <c r="AB2125"/>
  <c r="AB2126"/>
  <c r="AC2117"/>
  <c r="AD2117" s="1"/>
  <c r="Z2117" s="1"/>
  <c r="AD2120"/>
  <c r="AB2117"/>
  <c r="Y2117" s="1"/>
  <c r="AB2118"/>
  <c r="AB2119"/>
  <c r="Y2119" s="1"/>
  <c r="AB2120"/>
  <c r="AD2100"/>
  <c r="Z2100" s="1"/>
  <c r="AB2098"/>
  <c r="AB2099"/>
  <c r="AB2100"/>
  <c r="Y2100" s="1"/>
  <c r="AB2096"/>
  <c r="AD2093"/>
  <c r="Z2093" s="1"/>
  <c r="AB2091"/>
  <c r="AB2092"/>
  <c r="AB2093"/>
  <c r="Y2093" s="1"/>
  <c r="AB2090"/>
  <c r="AD2087"/>
  <c r="Z2087" s="1"/>
  <c r="AB2084"/>
  <c r="AB2085"/>
  <c r="AB2086"/>
  <c r="AB2087"/>
  <c r="Y2087" s="1"/>
  <c r="AB2083"/>
  <c r="AD2076"/>
  <c r="Z2076" s="1"/>
  <c r="AD2079"/>
  <c r="Z2079" s="1"/>
  <c r="AB2076"/>
  <c r="Y2076" s="1"/>
  <c r="AB2077"/>
  <c r="Y2077" s="1"/>
  <c r="AB2078"/>
  <c r="Y2078" s="1"/>
  <c r="AB2079"/>
  <c r="Y2079" s="1"/>
  <c r="AB2075"/>
  <c r="AD2069"/>
  <c r="AD2070"/>
  <c r="AD2071"/>
  <c r="AD2072"/>
  <c r="Z2072" s="1"/>
  <c r="AB2069"/>
  <c r="AB2070"/>
  <c r="AB2071"/>
  <c r="AB2072"/>
  <c r="Y2072" s="1"/>
  <c r="AD2068"/>
  <c r="AD2073" s="1"/>
  <c r="AB2068"/>
  <c r="AD2065"/>
  <c r="Z2065" s="1"/>
  <c r="AB2062"/>
  <c r="AB2063"/>
  <c r="AB2064"/>
  <c r="AB2065"/>
  <c r="Y2065" s="1"/>
  <c r="AB2061"/>
  <c r="AD2058"/>
  <c r="Z2058" s="1"/>
  <c r="AB2055"/>
  <c r="Y2055" s="1"/>
  <c r="AB2056"/>
  <c r="Y2056" s="1"/>
  <c r="AB2057"/>
  <c r="Y2057" s="1"/>
  <c r="AB2058"/>
  <c r="Y2058" s="1"/>
  <c r="AB2054"/>
  <c r="Y2054" s="1"/>
  <c r="AD2049"/>
  <c r="Z2049" s="1"/>
  <c r="AB2046"/>
  <c r="AB2047"/>
  <c r="AB2048"/>
  <c r="AB2049"/>
  <c r="Y2049" s="1"/>
  <c r="AB2051"/>
  <c r="AB2045"/>
  <c r="AB2020"/>
  <c r="AB2010"/>
  <c r="Y2010" s="1"/>
  <c r="AB2011"/>
  <c r="Y2011" s="1"/>
  <c r="AB2012"/>
  <c r="Y2012" s="1"/>
  <c r="AB2013"/>
  <c r="Y2013" s="1"/>
  <c r="AB2015"/>
  <c r="Y2015" s="1"/>
  <c r="AB2009"/>
  <c r="Y2009" s="1"/>
  <c r="AB2007"/>
  <c r="Y2007" s="1"/>
  <c r="Y2016" s="1"/>
  <c r="AD2001"/>
  <c r="AB1998"/>
  <c r="AB1999"/>
  <c r="AB2001"/>
  <c r="AB2003"/>
  <c r="AB1997"/>
  <c r="AD1990"/>
  <c r="Z1990" s="1"/>
  <c r="AB1975"/>
  <c r="AB1976"/>
  <c r="AB1977"/>
  <c r="AB1978"/>
  <c r="AB1980"/>
  <c r="AB1974"/>
  <c r="AD1956"/>
  <c r="AB1953"/>
  <c r="AB1954"/>
  <c r="AB1955"/>
  <c r="AB1956"/>
  <c r="AB1958"/>
  <c r="AB1952"/>
  <c r="AB1939"/>
  <c r="Y1939" s="1"/>
  <c r="AB1940"/>
  <c r="Y1940" s="1"/>
  <c r="AB1941"/>
  <c r="Y1941" s="1"/>
  <c r="AB1942"/>
  <c r="Y1942" s="1"/>
  <c r="AB1943"/>
  <c r="Y1943" s="1"/>
  <c r="AB1945"/>
  <c r="Y1945" s="1"/>
  <c r="AB1937"/>
  <c r="AB1922"/>
  <c r="AB1917"/>
  <c r="AB1918"/>
  <c r="AB1919"/>
  <c r="AB1916"/>
  <c r="AB1923" s="1"/>
  <c r="AB1911"/>
  <c r="AB1906"/>
  <c r="AB1907"/>
  <c r="AB1908"/>
  <c r="AB1909"/>
  <c r="AB1905"/>
  <c r="K1901"/>
  <c r="AB1894"/>
  <c r="AB1895"/>
  <c r="AB1896"/>
  <c r="AB1897"/>
  <c r="AB1899"/>
  <c r="AB1893"/>
  <c r="AB1884"/>
  <c r="AB1885"/>
  <c r="AB1886"/>
  <c r="AB1887"/>
  <c r="AB1889"/>
  <c r="AB1883"/>
  <c r="AB1879"/>
  <c r="Y1879" s="1"/>
  <c r="AB1874"/>
  <c r="Y1874" s="1"/>
  <c r="AB1875"/>
  <c r="Y1875" s="1"/>
  <c r="AB1876"/>
  <c r="Y1876" s="1"/>
  <c r="AB1877"/>
  <c r="Y1877" s="1"/>
  <c r="AB1873"/>
  <c r="Y1873" s="1"/>
  <c r="AA1859"/>
  <c r="AD1850"/>
  <c r="Z1850" s="1"/>
  <c r="AD1849"/>
  <c r="Z1849" s="1"/>
  <c r="AB1850"/>
  <c r="Y1850" s="1"/>
  <c r="AB1849"/>
  <c r="Y1849" s="1"/>
  <c r="AB1853"/>
  <c r="AB1854"/>
  <c r="AB1855"/>
  <c r="AB1856"/>
  <c r="AB1858"/>
  <c r="AB1852"/>
  <c r="AD1834"/>
  <c r="AD1835"/>
  <c r="AD1839"/>
  <c r="AD1841"/>
  <c r="AD1842"/>
  <c r="AD1844"/>
  <c r="AB1834"/>
  <c r="AB1835"/>
  <c r="AB1836"/>
  <c r="AB1837"/>
  <c r="AB1839"/>
  <c r="AB1840"/>
  <c r="AB1841"/>
  <c r="AB1842"/>
  <c r="AB1844"/>
  <c r="AD1833"/>
  <c r="AB1833"/>
  <c r="AB1791"/>
  <c r="AB1792"/>
  <c r="AB1793"/>
  <c r="AB1794"/>
  <c r="AB1795"/>
  <c r="AB1796"/>
  <c r="AB1798"/>
  <c r="AB1799"/>
  <c r="AB1800"/>
  <c r="AB1801"/>
  <c r="AB1802"/>
  <c r="AB1803"/>
  <c r="AB1790"/>
  <c r="AD1771"/>
  <c r="AD1772"/>
  <c r="AD1786"/>
  <c r="Z1786" s="1"/>
  <c r="AB1764"/>
  <c r="AB1765"/>
  <c r="AB1766"/>
  <c r="AB1767"/>
  <c r="AB1768"/>
  <c r="AB1770"/>
  <c r="AB1771"/>
  <c r="AB1772"/>
  <c r="AB1774"/>
  <c r="AB1775"/>
  <c r="AB1776"/>
  <c r="AB1777"/>
  <c r="AB1778"/>
  <c r="AB1779"/>
  <c r="AB1780"/>
  <c r="AB1781"/>
  <c r="AB1782"/>
  <c r="AB1783"/>
  <c r="AB1784"/>
  <c r="AB1785"/>
  <c r="AB1786"/>
  <c r="Y1786" s="1"/>
  <c r="AB1763"/>
  <c r="AB1758"/>
  <c r="AB1734"/>
  <c r="AB1735"/>
  <c r="AB1736"/>
  <c r="AB1737"/>
  <c r="AB1738"/>
  <c r="AB1739"/>
  <c r="AB1740"/>
  <c r="AB1741"/>
  <c r="AB1742"/>
  <c r="AB1743"/>
  <c r="AB1744"/>
  <c r="AB1745"/>
  <c r="AB1733"/>
  <c r="AB1718"/>
  <c r="AB1719"/>
  <c r="AB1720"/>
  <c r="AB1721"/>
  <c r="AB1722"/>
  <c r="AB1723"/>
  <c r="AB1724"/>
  <c r="AB1725"/>
  <c r="AB1726"/>
  <c r="AB1727"/>
  <c r="AB1713"/>
  <c r="AB1715"/>
  <c r="AB1716"/>
  <c r="AB1717"/>
  <c r="AB1711"/>
  <c r="AB1712"/>
  <c r="AB1707"/>
  <c r="AB1708"/>
  <c r="AB1709"/>
  <c r="AB1710"/>
  <c r="AB1706"/>
  <c r="AB1701"/>
  <c r="AB1700"/>
  <c r="AB1692"/>
  <c r="AB1681"/>
  <c r="AB1676"/>
  <c r="AD1626"/>
  <c r="AB1622"/>
  <c r="AB1623"/>
  <c r="AB1624"/>
  <c r="Z1624" s="1"/>
  <c r="AB1625"/>
  <c r="Z1625" s="1"/>
  <c r="AB1626"/>
  <c r="AB1628"/>
  <c r="AB1629"/>
  <c r="AB1630"/>
  <c r="AB1632"/>
  <c r="AB1633"/>
  <c r="AB1634"/>
  <c r="AB1635"/>
  <c r="AB1636"/>
  <c r="AB1637"/>
  <c r="AB1639"/>
  <c r="AB1640"/>
  <c r="Z1640" s="1"/>
  <c r="AB1641"/>
  <c r="AB1642"/>
  <c r="AB1645"/>
  <c r="AB1621"/>
  <c r="AD1587"/>
  <c r="AD1588"/>
  <c r="Z1588" s="1"/>
  <c r="AD1594"/>
  <c r="AD1595"/>
  <c r="AD1598"/>
  <c r="AD1599"/>
  <c r="AB1563"/>
  <c r="AB1564"/>
  <c r="AB1565"/>
  <c r="AB1566"/>
  <c r="AB1567"/>
  <c r="AB1568"/>
  <c r="AB1569"/>
  <c r="AB1570"/>
  <c r="AB1571"/>
  <c r="AB1573"/>
  <c r="AB1575"/>
  <c r="AB1576"/>
  <c r="AB1577"/>
  <c r="AB1578"/>
  <c r="AB1579"/>
  <c r="AB1580"/>
  <c r="AB1581"/>
  <c r="AB1582"/>
  <c r="Y1582" s="1"/>
  <c r="AB1583"/>
  <c r="AB1584"/>
  <c r="AB1585"/>
  <c r="AB1586"/>
  <c r="AB1587"/>
  <c r="AB1588"/>
  <c r="Y1588" s="1"/>
  <c r="AB1590"/>
  <c r="AB1592"/>
  <c r="AB1593"/>
  <c r="AB1594"/>
  <c r="AB1595"/>
  <c r="AB1597"/>
  <c r="AB1598"/>
  <c r="AB1599"/>
  <c r="AB1562"/>
  <c r="AB1556"/>
  <c r="AB1557"/>
  <c r="AB1558"/>
  <c r="AB1559"/>
  <c r="AB1560"/>
  <c r="AB1555"/>
  <c r="AB1549"/>
  <c r="AB1550"/>
  <c r="AB1551"/>
  <c r="AB1552"/>
  <c r="AB1553"/>
  <c r="AB1548"/>
  <c r="AD1515"/>
  <c r="AD1516"/>
  <c r="AD1533"/>
  <c r="AD1534"/>
  <c r="AD1535"/>
  <c r="AB1505"/>
  <c r="AB1506"/>
  <c r="AB1507"/>
  <c r="AB1508"/>
  <c r="AB1509"/>
  <c r="AB1510"/>
  <c r="AB1511"/>
  <c r="AB1512"/>
  <c r="AB1513"/>
  <c r="AB1514"/>
  <c r="AB1515"/>
  <c r="AB1516"/>
  <c r="AB1518"/>
  <c r="AB1520"/>
  <c r="AB1521"/>
  <c r="AB1522"/>
  <c r="AB1523"/>
  <c r="AB1524"/>
  <c r="AB1525"/>
  <c r="AB1526"/>
  <c r="AB1528"/>
  <c r="AB1529"/>
  <c r="AB1530"/>
  <c r="AB1531"/>
  <c r="AB1532"/>
  <c r="AB1533"/>
  <c r="AB1534"/>
  <c r="AB1535"/>
  <c r="AB1537"/>
  <c r="AB1538"/>
  <c r="AB1539"/>
  <c r="AB1540"/>
  <c r="AB1541"/>
  <c r="AB1543"/>
  <c r="AB1544"/>
  <c r="AB1504"/>
  <c r="AD1466"/>
  <c r="AD1468"/>
  <c r="AD1469"/>
  <c r="AB1444"/>
  <c r="AB1445"/>
  <c r="AB1446"/>
  <c r="AB1447"/>
  <c r="AB1448"/>
  <c r="AB1450"/>
  <c r="AB1451"/>
  <c r="AB1452"/>
  <c r="AB1453"/>
  <c r="AB1454"/>
  <c r="AB1456"/>
  <c r="AB1457"/>
  <c r="AB1458"/>
  <c r="AB1459"/>
  <c r="AB1460"/>
  <c r="AB1462"/>
  <c r="AB1463"/>
  <c r="AB1464"/>
  <c r="AB1467"/>
  <c r="AB1468"/>
  <c r="AB1469"/>
  <c r="AB1443"/>
  <c r="AB1442"/>
  <c r="AB1440"/>
  <c r="Z1420"/>
  <c r="AB1419"/>
  <c r="AB1418"/>
  <c r="AB1410"/>
  <c r="AB1411"/>
  <c r="AB1412"/>
  <c r="AB1413"/>
  <c r="AB1414"/>
  <c r="AB1415"/>
  <c r="AB1406"/>
  <c r="AB1407"/>
  <c r="AB1408"/>
  <c r="AB1405"/>
  <c r="AB1396"/>
  <c r="AB1397"/>
  <c r="AB1398"/>
  <c r="AB1399"/>
  <c r="AB1400"/>
  <c r="AB1403"/>
  <c r="AB1395"/>
  <c r="AD1154"/>
  <c r="AD1161"/>
  <c r="AD1162"/>
  <c r="AD1163"/>
  <c r="AD1164"/>
  <c r="AD1165"/>
  <c r="AD1166"/>
  <c r="AD1168"/>
  <c r="AD1169"/>
  <c r="AD1170"/>
  <c r="AD1171"/>
  <c r="AD1172"/>
  <c r="AD1173"/>
  <c r="AD1174"/>
  <c r="AD1175"/>
  <c r="AD1176"/>
  <c r="AD1177"/>
  <c r="AD1178"/>
  <c r="AD1179"/>
  <c r="AD1183"/>
  <c r="AD1184"/>
  <c r="AD1214"/>
  <c r="AD1215"/>
  <c r="AD1216"/>
  <c r="AD1217"/>
  <c r="AD1218"/>
  <c r="AD1219"/>
  <c r="AD1222"/>
  <c r="AD1223"/>
  <c r="AD1224"/>
  <c r="AD1225"/>
  <c r="AD1226"/>
  <c r="AD1227"/>
  <c r="AD1228"/>
  <c r="AD1229"/>
  <c r="AD1230"/>
  <c r="AD1231"/>
  <c r="AD1232"/>
  <c r="AD1233"/>
  <c r="AD1234"/>
  <c r="AD1235"/>
  <c r="AD1236"/>
  <c r="AD1237"/>
  <c r="AD1238"/>
  <c r="AD1239"/>
  <c r="AD1240"/>
  <c r="AD1241"/>
  <c r="AD1242"/>
  <c r="AD1243"/>
  <c r="AD1244"/>
  <c r="AD1245"/>
  <c r="AD1246"/>
  <c r="AD1247"/>
  <c r="AD1248"/>
  <c r="AD1249"/>
  <c r="AD1250"/>
  <c r="AD1251"/>
  <c r="AD1252"/>
  <c r="AD1253"/>
  <c r="AD1254"/>
  <c r="AD1255"/>
  <c r="AD1256"/>
  <c r="AD1257"/>
  <c r="AD1258"/>
  <c r="AD1259"/>
  <c r="AD1260"/>
  <c r="AD1261"/>
  <c r="AD1264"/>
  <c r="AD1265"/>
  <c r="AD1266"/>
  <c r="AD1267"/>
  <c r="AD1268"/>
  <c r="AD1269"/>
  <c r="AD1271"/>
  <c r="AD1272"/>
  <c r="AD1273"/>
  <c r="AD1274"/>
  <c r="AD1276"/>
  <c r="AD1277"/>
  <c r="AD1278"/>
  <c r="AD1279"/>
  <c r="AD1280"/>
  <c r="AD1281"/>
  <c r="AD1282"/>
  <c r="AD1284"/>
  <c r="AD1287"/>
  <c r="AD1288"/>
  <c r="AD1289"/>
  <c r="AD1290"/>
  <c r="AD1291"/>
  <c r="AD1292"/>
  <c r="AD1293"/>
  <c r="AB1031"/>
  <c r="AB1033"/>
  <c r="AB1034"/>
  <c r="AB1035"/>
  <c r="AB1036"/>
  <c r="AB1037"/>
  <c r="AB1038"/>
  <c r="AB1039"/>
  <c r="AB1044"/>
  <c r="AB1046"/>
  <c r="AB1047"/>
  <c r="AB1048"/>
  <c r="AB1049"/>
  <c r="AB1050"/>
  <c r="AB1051"/>
  <c r="AB1053"/>
  <c r="AB1054"/>
  <c r="AB1055"/>
  <c r="AB1056"/>
  <c r="AB1057"/>
  <c r="AB1058"/>
  <c r="AB1059"/>
  <c r="AB1060"/>
  <c r="AB1061"/>
  <c r="AB1062"/>
  <c r="AB1063"/>
  <c r="AB1064"/>
  <c r="AB1065"/>
  <c r="AB1066"/>
  <c r="AB1067"/>
  <c r="AB1068"/>
  <c r="AB1069"/>
  <c r="AB1070"/>
  <c r="AB1071"/>
  <c r="AB1072"/>
  <c r="AB1073"/>
  <c r="AB1074"/>
  <c r="AB1075"/>
  <c r="AB1076"/>
  <c r="AB1077"/>
  <c r="AB1078"/>
  <c r="AB1079"/>
  <c r="AB1080"/>
  <c r="AB1081"/>
  <c r="AB1082"/>
  <c r="AB1083"/>
  <c r="AB1084"/>
  <c r="AB1085"/>
  <c r="AB1086"/>
  <c r="AB1087"/>
  <c r="AB1088"/>
  <c r="AB1089"/>
  <c r="AB1090"/>
  <c r="AB1091"/>
  <c r="AB1092"/>
  <c r="AB1093"/>
  <c r="AB1094"/>
  <c r="AB1095"/>
  <c r="AB1096"/>
  <c r="AB1097"/>
  <c r="AB1098"/>
  <c r="AB1100"/>
  <c r="AB1101"/>
  <c r="AB1102"/>
  <c r="AB1103"/>
  <c r="AB1104"/>
  <c r="AB1105"/>
  <c r="AB1106"/>
  <c r="AB1107"/>
  <c r="AB1108"/>
  <c r="AB1109"/>
  <c r="AB1110"/>
  <c r="AB1111"/>
  <c r="AB1112"/>
  <c r="AB1113"/>
  <c r="AB1114"/>
  <c r="AB1115"/>
  <c r="AB1116"/>
  <c r="AB1117"/>
  <c r="AB1118"/>
  <c r="AB1119"/>
  <c r="AB1120"/>
  <c r="AB1121"/>
  <c r="AB1122"/>
  <c r="AB1123"/>
  <c r="AB1124"/>
  <c r="AB1125"/>
  <c r="AB1126"/>
  <c r="AB1127"/>
  <c r="AB1129"/>
  <c r="AB1130"/>
  <c r="AB1131"/>
  <c r="AB1132"/>
  <c r="AB1133"/>
  <c r="AB1134"/>
  <c r="AB1135"/>
  <c r="AB1136"/>
  <c r="AB1137"/>
  <c r="AB1138"/>
  <c r="AB1139"/>
  <c r="AB1140"/>
  <c r="AB1141"/>
  <c r="AB1142"/>
  <c r="AB1143"/>
  <c r="AB1144"/>
  <c r="AB1145"/>
  <c r="AB1146"/>
  <c r="AB1147"/>
  <c r="AB1149"/>
  <c r="AB1150"/>
  <c r="AB1151"/>
  <c r="AB1152"/>
  <c r="AB1153"/>
  <c r="AB1154"/>
  <c r="AB1155"/>
  <c r="AB1157"/>
  <c r="AB1158"/>
  <c r="AB1159"/>
  <c r="AB1160"/>
  <c r="AB1161"/>
  <c r="AB1162"/>
  <c r="AB1163"/>
  <c r="AB1164"/>
  <c r="AB1165"/>
  <c r="AB1166"/>
  <c r="AB1167"/>
  <c r="AB1168"/>
  <c r="AB1169"/>
  <c r="AB1170"/>
  <c r="AB1171"/>
  <c r="AB1173"/>
  <c r="AB1174"/>
  <c r="AB1175"/>
  <c r="AB1176"/>
  <c r="AB1177"/>
  <c r="AB1178"/>
  <c r="AB1179"/>
  <c r="AB1180"/>
  <c r="AB1181"/>
  <c r="AB1184"/>
  <c r="AB1186"/>
  <c r="AB1187"/>
  <c r="AB1188"/>
  <c r="AB1189"/>
  <c r="AB1190"/>
  <c r="AB1191"/>
  <c r="AB1192"/>
  <c r="AB1193"/>
  <c r="AB1194"/>
  <c r="AB1195"/>
  <c r="AB1196"/>
  <c r="AB1198"/>
  <c r="AB1200"/>
  <c r="AB1202"/>
  <c r="AB1203"/>
  <c r="AB1204"/>
  <c r="AB1205"/>
  <c r="AB1206"/>
  <c r="AB1207"/>
  <c r="AB1208"/>
  <c r="AB1209"/>
  <c r="AB1210"/>
  <c r="AB1214"/>
  <c r="AB1215"/>
  <c r="AB1216"/>
  <c r="AB1217"/>
  <c r="AB1218"/>
  <c r="AB1219"/>
  <c r="AB1222"/>
  <c r="AB1223"/>
  <c r="AB1224"/>
  <c r="AB1225"/>
  <c r="AB1226"/>
  <c r="AB1227"/>
  <c r="AB1228"/>
  <c r="AB1229"/>
  <c r="AB1230"/>
  <c r="AB1231"/>
  <c r="AB1232"/>
  <c r="AB1233"/>
  <c r="AB1234"/>
  <c r="AB1235"/>
  <c r="AB1236"/>
  <c r="AB1237"/>
  <c r="AB1238"/>
  <c r="AB1239"/>
  <c r="AB1240"/>
  <c r="AB1241"/>
  <c r="AB1242"/>
  <c r="AB1243"/>
  <c r="AB1244"/>
  <c r="AB1245"/>
  <c r="AB1246"/>
  <c r="AB1247"/>
  <c r="AB1248"/>
  <c r="AB1249"/>
  <c r="AB1250"/>
  <c r="AB1251"/>
  <c r="AB1252"/>
  <c r="AB1253"/>
  <c r="AB1254"/>
  <c r="AB1255"/>
  <c r="AB1256"/>
  <c r="AB1257"/>
  <c r="AB1258"/>
  <c r="AB1259"/>
  <c r="AB1260"/>
  <c r="AB1261"/>
  <c r="AB1264"/>
  <c r="AB1265"/>
  <c r="AB1266"/>
  <c r="AB1267"/>
  <c r="AB1268"/>
  <c r="AB1269"/>
  <c r="AB1271"/>
  <c r="AB1272"/>
  <c r="AB1273"/>
  <c r="AB1274"/>
  <c r="AB1276"/>
  <c r="AB1277"/>
  <c r="AB1278"/>
  <c r="AB1279"/>
  <c r="AB1280"/>
  <c r="AB1281"/>
  <c r="AB1282"/>
  <c r="AB1284"/>
  <c r="AB1287"/>
  <c r="AB1288"/>
  <c r="AB1289"/>
  <c r="AB1290"/>
  <c r="AB1291"/>
  <c r="AB1292"/>
  <c r="AB1293"/>
  <c r="AB1029"/>
  <c r="AB1022"/>
  <c r="AD1017"/>
  <c r="AD1018"/>
  <c r="AB1012"/>
  <c r="AB1013"/>
  <c r="AB1014"/>
  <c r="AB1015"/>
  <c r="AB1016"/>
  <c r="AB1017"/>
  <c r="AB1018"/>
  <c r="AB1011"/>
  <c r="AB1002"/>
  <c r="AB1003"/>
  <c r="AB1004"/>
  <c r="AB1005"/>
  <c r="AB1006"/>
  <c r="AB1007"/>
  <c r="AB1008"/>
  <c r="AB1001"/>
  <c r="AB992"/>
  <c r="AB993"/>
  <c r="AB994"/>
  <c r="AB995"/>
  <c r="AB996"/>
  <c r="AB997"/>
  <c r="AB998"/>
  <c r="AB991"/>
  <c r="AB982"/>
  <c r="AB983"/>
  <c r="AB984"/>
  <c r="AB985"/>
  <c r="AB986"/>
  <c r="AB987"/>
  <c r="AB988"/>
  <c r="AB981"/>
  <c r="AB972"/>
  <c r="AB973"/>
  <c r="AB974"/>
  <c r="AB975"/>
  <c r="AB976"/>
  <c r="AB977"/>
  <c r="AB978"/>
  <c r="AB971"/>
  <c r="AD967"/>
  <c r="AD968"/>
  <c r="AB962"/>
  <c r="AB963"/>
  <c r="AB964"/>
  <c r="AB965"/>
  <c r="AB966"/>
  <c r="AB967"/>
  <c r="AB968"/>
  <c r="AB961"/>
  <c r="AD957"/>
  <c r="AD958"/>
  <c r="AB952"/>
  <c r="AB953"/>
  <c r="AB954"/>
  <c r="AB955"/>
  <c r="AB956"/>
  <c r="AB957"/>
  <c r="AB958"/>
  <c r="AB951"/>
  <c r="AD947"/>
  <c r="Z947" s="1"/>
  <c r="AD948"/>
  <c r="Z948" s="1"/>
  <c r="AB942"/>
  <c r="AB943"/>
  <c r="AB944"/>
  <c r="AB945"/>
  <c r="AB946"/>
  <c r="AB947"/>
  <c r="AB948"/>
  <c r="AB941"/>
  <c r="AD937"/>
  <c r="AD938"/>
  <c r="AB932"/>
  <c r="AB933"/>
  <c r="AB934"/>
  <c r="AB935"/>
  <c r="AB936"/>
  <c r="AB937"/>
  <c r="AB938"/>
  <c r="AB931"/>
  <c r="AD927"/>
  <c r="Z927" s="1"/>
  <c r="AD928"/>
  <c r="Z928" s="1"/>
  <c r="AB923"/>
  <c r="AB924"/>
  <c r="AB925"/>
  <c r="AB926"/>
  <c r="AB927"/>
  <c r="Y927" s="1"/>
  <c r="AB928"/>
  <c r="Y928" s="1"/>
  <c r="AB921"/>
  <c r="AB912"/>
  <c r="AB913"/>
  <c r="AB914"/>
  <c r="AB916"/>
  <c r="AB917"/>
  <c r="AB918"/>
  <c r="AB911"/>
  <c r="AD907"/>
  <c r="AD908"/>
  <c r="AB902"/>
  <c r="AB903"/>
  <c r="AB904"/>
  <c r="AB905"/>
  <c r="AB906"/>
  <c r="AB907"/>
  <c r="AB908"/>
  <c r="AB901"/>
  <c r="AD897"/>
  <c r="AD898"/>
  <c r="AB892"/>
  <c r="AB893"/>
  <c r="AB894"/>
  <c r="AB895"/>
  <c r="AB896"/>
  <c r="AB897"/>
  <c r="AB898"/>
  <c r="AB891"/>
  <c r="AD887"/>
  <c r="AD888"/>
  <c r="AB883"/>
  <c r="AB884"/>
  <c r="AB885"/>
  <c r="AB886"/>
  <c r="AB887"/>
  <c r="AB888"/>
  <c r="AB882"/>
  <c r="AD878"/>
  <c r="Z878" s="1"/>
  <c r="AD879"/>
  <c r="Z879" s="1"/>
  <c r="AB874"/>
  <c r="Y874" s="1"/>
  <c r="AB875"/>
  <c r="Y875" s="1"/>
  <c r="AB876"/>
  <c r="Y876" s="1"/>
  <c r="AB877"/>
  <c r="Y877" s="1"/>
  <c r="AB878"/>
  <c r="Y878" s="1"/>
  <c r="AB879"/>
  <c r="Y879" s="1"/>
  <c r="AB873"/>
  <c r="Y873" s="1"/>
  <c r="AD869"/>
  <c r="AD870"/>
  <c r="AB865"/>
  <c r="AB866"/>
  <c r="AB867"/>
  <c r="AB868"/>
  <c r="AB869"/>
  <c r="AB870"/>
  <c r="AB863"/>
  <c r="AD859"/>
  <c r="AD860"/>
  <c r="AB854"/>
  <c r="AB855"/>
  <c r="AB856"/>
  <c r="AB857"/>
  <c r="AB858"/>
  <c r="AB859"/>
  <c r="AB860"/>
  <c r="AB853"/>
  <c r="AD849"/>
  <c r="AD850"/>
  <c r="AB844"/>
  <c r="AB845"/>
  <c r="AB846"/>
  <c r="AB847"/>
  <c r="AB848"/>
  <c r="AB849"/>
  <c r="AB850"/>
  <c r="AB843"/>
  <c r="AD839"/>
  <c r="AD840"/>
  <c r="AB834"/>
  <c r="AB835"/>
  <c r="AB836"/>
  <c r="AB837"/>
  <c r="AB838"/>
  <c r="AB839"/>
  <c r="AB840"/>
  <c r="AB833"/>
  <c r="AB824"/>
  <c r="AB825"/>
  <c r="AB826"/>
  <c r="AB827"/>
  <c r="AB828"/>
  <c r="AB829"/>
  <c r="AB830"/>
  <c r="AB823"/>
  <c r="AD819"/>
  <c r="Z819" s="1"/>
  <c r="AD820"/>
  <c r="Z820" s="1"/>
  <c r="AB814"/>
  <c r="AB815"/>
  <c r="AB816"/>
  <c r="AB817"/>
  <c r="AB818"/>
  <c r="AB819"/>
  <c r="Y819" s="1"/>
  <c r="AB820"/>
  <c r="Y820" s="1"/>
  <c r="AB813"/>
  <c r="AD807"/>
  <c r="AD809"/>
  <c r="AD810"/>
  <c r="AB804"/>
  <c r="AB805"/>
  <c r="AB806"/>
  <c r="AB807"/>
  <c r="AB808"/>
  <c r="Z808" s="1"/>
  <c r="Y808" s="1"/>
  <c r="AB809"/>
  <c r="Z809" s="1"/>
  <c r="Y809" s="1"/>
  <c r="AB810"/>
  <c r="Z810" s="1"/>
  <c r="Y810" s="1"/>
  <c r="AB803"/>
  <c r="AB796"/>
  <c r="AB797"/>
  <c r="AB798"/>
  <c r="AB799"/>
  <c r="AB800"/>
  <c r="AB795"/>
  <c r="Y781"/>
  <c r="AD787"/>
  <c r="AC782"/>
  <c r="AD782" s="1"/>
  <c r="AC783"/>
  <c r="AD783" s="1"/>
  <c r="AC784"/>
  <c r="AD784" s="1"/>
  <c r="AC785"/>
  <c r="AD785" s="1"/>
  <c r="AC786"/>
  <c r="AD786" s="1"/>
  <c r="AB789"/>
  <c r="AB792"/>
  <c r="AB791"/>
  <c r="AA790"/>
  <c r="Z790"/>
  <c r="AC789"/>
  <c r="AD789" s="1"/>
  <c r="AA788"/>
  <c r="AC771"/>
  <c r="Z765"/>
  <c r="Y765"/>
  <c r="AD703"/>
  <c r="AD711"/>
  <c r="AD728"/>
  <c r="AD730"/>
  <c r="AD731"/>
  <c r="AD733"/>
  <c r="AD734"/>
  <c r="AD735"/>
  <c r="AD737"/>
  <c r="AD745"/>
  <c r="AD746"/>
  <c r="AD747"/>
  <c r="AD748"/>
  <c r="AD749"/>
  <c r="AD750"/>
  <c r="AD761"/>
  <c r="AD762"/>
  <c r="AB694"/>
  <c r="AB695"/>
  <c r="AB696"/>
  <c r="AB697"/>
  <c r="AB698"/>
  <c r="AB700"/>
  <c r="AB701"/>
  <c r="AB702"/>
  <c r="AB703"/>
  <c r="AB705"/>
  <c r="AB706"/>
  <c r="AB707"/>
  <c r="AB708"/>
  <c r="AB709"/>
  <c r="AB711"/>
  <c r="AB712"/>
  <c r="AB713"/>
  <c r="AB714"/>
  <c r="AB715"/>
  <c r="AB716"/>
  <c r="AB718"/>
  <c r="AB719"/>
  <c r="AB721"/>
  <c r="AB722"/>
  <c r="AB723"/>
  <c r="AB724"/>
  <c r="AB725"/>
  <c r="AB726"/>
  <c r="AB728"/>
  <c r="AB729"/>
  <c r="AB730"/>
  <c r="AB731"/>
  <c r="AB732"/>
  <c r="AB733"/>
  <c r="AB734"/>
  <c r="AB735"/>
  <c r="AB736"/>
  <c r="AB737"/>
  <c r="AB739"/>
  <c r="AB740"/>
  <c r="AB742"/>
  <c r="AB743"/>
  <c r="AB744"/>
  <c r="AB745"/>
  <c r="AB746"/>
  <c r="AB747"/>
  <c r="AB748"/>
  <c r="AB749"/>
  <c r="AB750"/>
  <c r="AB752"/>
  <c r="AB753"/>
  <c r="AB754"/>
  <c r="AB755"/>
  <c r="AB757"/>
  <c r="AB758"/>
  <c r="AB759"/>
  <c r="AB760"/>
  <c r="AB761"/>
  <c r="AB762"/>
  <c r="AB763"/>
  <c r="AB764"/>
  <c r="AB693"/>
  <c r="AD677"/>
  <c r="AD678"/>
  <c r="AD679"/>
  <c r="AD680"/>
  <c r="AD681"/>
  <c r="AD682"/>
  <c r="AD676"/>
  <c r="AB677"/>
  <c r="AB678"/>
  <c r="AB679"/>
  <c r="AB680"/>
  <c r="AB681"/>
  <c r="AB682"/>
  <c r="AB676"/>
  <c r="AD670"/>
  <c r="AD671"/>
  <c r="AD672"/>
  <c r="AD673"/>
  <c r="AB670"/>
  <c r="AB671"/>
  <c r="AB672"/>
  <c r="AB673"/>
  <c r="AD669"/>
  <c r="AB669"/>
  <c r="AD661"/>
  <c r="AD662"/>
  <c r="AD665"/>
  <c r="AD666"/>
  <c r="AB661"/>
  <c r="AB662"/>
  <c r="AB663"/>
  <c r="AB664"/>
  <c r="AB665"/>
  <c r="AB666"/>
  <c r="AD660"/>
  <c r="AB660"/>
  <c r="AA667"/>
  <c r="AD657"/>
  <c r="Z657" s="1"/>
  <c r="AB654"/>
  <c r="AB655"/>
  <c r="AB656"/>
  <c r="AB657"/>
  <c r="AB653"/>
  <c r="AB647"/>
  <c r="AB648"/>
  <c r="AB649"/>
  <c r="AB650"/>
  <c r="Y650" s="1"/>
  <c r="AB646"/>
  <c r="AB641"/>
  <c r="AB642"/>
  <c r="AB643"/>
  <c r="AB640"/>
  <c r="AB635"/>
  <c r="AB636"/>
  <c r="AB637"/>
  <c r="AB634"/>
  <c r="AB629"/>
  <c r="AB630"/>
  <c r="AB631"/>
  <c r="AB628"/>
  <c r="AB622"/>
  <c r="AB623"/>
  <c r="AB624"/>
  <c r="AB625"/>
  <c r="AB621"/>
  <c r="AD618"/>
  <c r="Z618" s="1"/>
  <c r="AB615"/>
  <c r="AB616"/>
  <c r="AB617"/>
  <c r="AB618"/>
  <c r="Y618" s="1"/>
  <c r="AB614"/>
  <c r="AB619" s="1"/>
  <c r="AB609"/>
  <c r="AB610"/>
  <c r="AB611"/>
  <c r="AB608"/>
  <c r="AB603"/>
  <c r="AB604"/>
  <c r="AB605"/>
  <c r="AB602"/>
  <c r="AB597"/>
  <c r="AB598"/>
  <c r="AB599"/>
  <c r="AB596"/>
  <c r="AB591"/>
  <c r="AB592"/>
  <c r="AB593"/>
  <c r="AB590"/>
  <c r="AB584"/>
  <c r="AB585"/>
  <c r="AB586"/>
  <c r="AB587"/>
  <c r="AB583"/>
  <c r="AC578"/>
  <c r="AD578" s="1"/>
  <c r="AB576"/>
  <c r="AB577"/>
  <c r="AB578"/>
  <c r="Y578" s="1"/>
  <c r="AB579"/>
  <c r="AB580"/>
  <c r="AB575"/>
  <c r="AB570"/>
  <c r="AB572"/>
  <c r="AB569"/>
  <c r="AD566"/>
  <c r="Z566" s="1"/>
  <c r="AB564"/>
  <c r="AB565"/>
  <c r="AB566"/>
  <c r="Y566" s="1"/>
  <c r="AB562"/>
  <c r="AD557"/>
  <c r="AD558"/>
  <c r="AB555"/>
  <c r="AB556"/>
  <c r="AB557"/>
  <c r="AB558"/>
  <c r="AB554"/>
  <c r="AD551"/>
  <c r="AB550"/>
  <c r="AB551"/>
  <c r="AB549"/>
  <c r="AB545"/>
  <c r="AB546"/>
  <c r="AB544"/>
  <c r="AB539"/>
  <c r="AB540"/>
  <c r="AB541"/>
  <c r="AB538"/>
  <c r="AB533"/>
  <c r="AB534"/>
  <c r="AB535"/>
  <c r="Y535" s="1"/>
  <c r="AB532"/>
  <c r="AB528"/>
  <c r="AB529"/>
  <c r="AB527"/>
  <c r="AB523"/>
  <c r="AB524"/>
  <c r="AB522"/>
  <c r="AD519"/>
  <c r="AB517"/>
  <c r="AB518"/>
  <c r="AB519"/>
  <c r="Z519" s="1"/>
  <c r="AB516"/>
  <c r="AB510"/>
  <c r="AB511"/>
  <c r="AB512"/>
  <c r="AB513"/>
  <c r="AB509"/>
  <c r="AB503"/>
  <c r="AB504"/>
  <c r="AB505"/>
  <c r="AB506"/>
  <c r="AB502"/>
  <c r="AB497"/>
  <c r="AB498"/>
  <c r="AB499"/>
  <c r="AB496"/>
  <c r="AB491"/>
  <c r="AB492"/>
  <c r="AB493"/>
  <c r="AB490"/>
  <c r="AB485"/>
  <c r="AB486"/>
  <c r="AB487"/>
  <c r="AB484"/>
  <c r="AB480"/>
  <c r="AB481"/>
  <c r="AB479"/>
  <c r="AB474"/>
  <c r="AB475"/>
  <c r="AB476"/>
  <c r="Y476" s="1"/>
  <c r="AB473"/>
  <c r="AB468"/>
  <c r="Y468" s="1"/>
  <c r="AB469"/>
  <c r="Y469" s="1"/>
  <c r="AB470"/>
  <c r="Y470" s="1"/>
  <c r="AB467"/>
  <c r="Y467" s="1"/>
  <c r="AD464"/>
  <c r="AB461"/>
  <c r="AB462"/>
  <c r="AB463"/>
  <c r="AB464"/>
  <c r="AB460"/>
  <c r="AB465" s="1"/>
  <c r="AB456"/>
  <c r="AB457"/>
  <c r="AB455"/>
  <c r="AB450"/>
  <c r="AB451"/>
  <c r="AB452"/>
  <c r="AB449"/>
  <c r="AB444"/>
  <c r="AB445"/>
  <c r="AB446"/>
  <c r="AB443"/>
  <c r="AD440"/>
  <c r="AB438"/>
  <c r="AB439"/>
  <c r="AB440"/>
  <c r="AB437"/>
  <c r="AB432"/>
  <c r="AB433"/>
  <c r="AB434"/>
  <c r="AB431"/>
  <c r="AD428"/>
  <c r="Z428" s="1"/>
  <c r="AB426"/>
  <c r="Y426" s="1"/>
  <c r="AB427"/>
  <c r="Y427" s="1"/>
  <c r="AB428"/>
  <c r="Y428" s="1"/>
  <c r="AB425"/>
  <c r="AB420"/>
  <c r="Y420" s="1"/>
  <c r="AB421"/>
  <c r="Y421" s="1"/>
  <c r="AB422"/>
  <c r="Y422" s="1"/>
  <c r="AB419"/>
  <c r="Y419" s="1"/>
  <c r="AB413"/>
  <c r="AB414"/>
  <c r="AB415"/>
  <c r="AB416"/>
  <c r="AB412"/>
  <c r="AD409"/>
  <c r="AB407"/>
  <c r="AB408"/>
  <c r="AB409"/>
  <c r="Z409" s="1"/>
  <c r="AB406"/>
  <c r="AD402"/>
  <c r="AB402"/>
  <c r="AB403"/>
  <c r="AB401"/>
  <c r="AB396"/>
  <c r="AB397"/>
  <c r="AB398"/>
  <c r="AB395"/>
  <c r="AB390"/>
  <c r="AB391"/>
  <c r="AB392"/>
  <c r="AB389"/>
  <c r="AB383"/>
  <c r="AB384"/>
  <c r="AB385"/>
  <c r="AB386"/>
  <c r="AB382"/>
  <c r="AB378"/>
  <c r="Y378" s="1"/>
  <c r="AB379"/>
  <c r="Y379" s="1"/>
  <c r="AB377"/>
  <c r="Y377" s="1"/>
  <c r="AD374"/>
  <c r="AB372"/>
  <c r="AB373"/>
  <c r="AB374"/>
  <c r="AD367"/>
  <c r="AD368"/>
  <c r="Z368" s="1"/>
  <c r="AB365"/>
  <c r="AB366"/>
  <c r="AB367"/>
  <c r="AB368"/>
  <c r="AB364"/>
  <c r="AB360"/>
  <c r="AB361"/>
  <c r="AB359"/>
  <c r="Y1880" l="1"/>
  <c r="AB1981"/>
  <c r="AB2073"/>
  <c r="AB2101"/>
  <c r="AB2066"/>
  <c r="AB2080"/>
  <c r="AB429"/>
  <c r="Y425"/>
  <c r="Y429" s="1"/>
  <c r="Z679"/>
  <c r="Y679"/>
  <c r="AB2027"/>
  <c r="Y2020"/>
  <c r="Y2027" s="1"/>
  <c r="AB2094"/>
  <c r="AB949"/>
  <c r="AB929"/>
  <c r="Z682"/>
  <c r="Y682"/>
  <c r="Z681"/>
  <c r="Y681"/>
  <c r="Z680"/>
  <c r="Y680"/>
  <c r="Z678"/>
  <c r="Y678"/>
  <c r="Z677"/>
  <c r="Y677"/>
  <c r="Z676"/>
  <c r="Y676"/>
  <c r="Z938"/>
  <c r="Y938"/>
  <c r="Y1520"/>
  <c r="Y1516"/>
  <c r="Z1515"/>
  <c r="AB369"/>
  <c r="AB658"/>
  <c r="AB1912"/>
  <c r="AB2052"/>
  <c r="Z937"/>
  <c r="Y937"/>
  <c r="Y1515"/>
  <c r="AB2004"/>
  <c r="Y1514"/>
  <c r="Y1513"/>
  <c r="Z1516"/>
  <c r="Y1526"/>
  <c r="Y1525"/>
  <c r="Y1524"/>
  <c r="Y1523"/>
  <c r="Y1522"/>
  <c r="Y1521"/>
  <c r="AB2141"/>
  <c r="AB871"/>
  <c r="AB1901"/>
  <c r="Y2121"/>
  <c r="AB2250"/>
  <c r="AB1420"/>
  <c r="AB781"/>
  <c r="AB790"/>
  <c r="Y1600"/>
  <c r="AB667"/>
  <c r="AB573"/>
  <c r="AD2127"/>
  <c r="AB581"/>
  <c r="Z578"/>
  <c r="AD781"/>
  <c r="AB1545"/>
  <c r="AB674"/>
  <c r="AC788"/>
  <c r="AB1859"/>
  <c r="AB1294"/>
  <c r="AB765"/>
  <c r="AB1880"/>
  <c r="AB1600"/>
  <c r="Z781"/>
  <c r="Z793" s="1"/>
  <c r="Y683" l="1"/>
  <c r="AB354"/>
  <c r="AB357" s="1"/>
  <c r="AD351"/>
  <c r="Z351" s="1"/>
  <c r="AB349"/>
  <c r="AB351"/>
  <c r="Y351" s="1"/>
  <c r="AB348"/>
  <c r="AB345"/>
  <c r="Y345" s="1"/>
  <c r="AD344"/>
  <c r="Z344" s="1"/>
  <c r="AB344"/>
  <c r="Y344" s="1"/>
  <c r="AD341"/>
  <c r="AB339"/>
  <c r="AB340"/>
  <c r="AB341"/>
  <c r="Z341" s="1"/>
  <c r="AB338"/>
  <c r="Y338" s="1"/>
  <c r="Y342" s="1"/>
  <c r="AB333"/>
  <c r="AB334"/>
  <c r="AB335"/>
  <c r="AB332"/>
  <c r="AD329"/>
  <c r="AB328"/>
  <c r="AB329"/>
  <c r="AB327"/>
  <c r="AD324"/>
  <c r="AB324"/>
  <c r="AB323"/>
  <c r="AC316"/>
  <c r="AD316" s="1"/>
  <c r="Z316" s="1"/>
  <c r="AB314"/>
  <c r="AB315"/>
  <c r="AB316"/>
  <c r="Y316" s="1"/>
  <c r="AB313"/>
  <c r="AB309"/>
  <c r="AB310"/>
  <c r="AB308"/>
  <c r="AD305"/>
  <c r="AB302"/>
  <c r="AB303"/>
  <c r="AB304"/>
  <c r="AB305"/>
  <c r="AB301"/>
  <c r="AD296"/>
  <c r="AD298"/>
  <c r="Z298" s="1"/>
  <c r="AB296"/>
  <c r="AB298"/>
  <c r="Y298" s="1"/>
  <c r="AD295"/>
  <c r="AB295"/>
  <c r="AB290"/>
  <c r="AB291"/>
  <c r="AB292"/>
  <c r="AB289"/>
  <c r="Y285"/>
  <c r="AB284"/>
  <c r="AB286"/>
  <c r="AD283"/>
  <c r="AD287" s="1"/>
  <c r="AB283"/>
  <c r="AB287" s="1"/>
  <c r="AB278"/>
  <c r="AB279"/>
  <c r="AB280"/>
  <c r="AB277"/>
  <c r="AB273"/>
  <c r="Y273" s="1"/>
  <c r="AB274"/>
  <c r="Y274" s="1"/>
  <c r="AB272"/>
  <c r="Z137"/>
  <c r="AD267"/>
  <c r="AB266"/>
  <c r="AB267"/>
  <c r="AB268"/>
  <c r="AB265"/>
  <c r="AD260"/>
  <c r="AD261"/>
  <c r="AD262"/>
  <c r="Z262" s="1"/>
  <c r="AB259"/>
  <c r="AB260"/>
  <c r="AB261"/>
  <c r="AB262"/>
  <c r="Y262" s="1"/>
  <c r="AB258"/>
  <c r="AD255"/>
  <c r="Z255" s="1"/>
  <c r="AB253"/>
  <c r="AB252"/>
  <c r="AB247"/>
  <c r="AB248"/>
  <c r="AB249"/>
  <c r="AB246"/>
  <c r="AB241"/>
  <c r="AB242"/>
  <c r="AB243"/>
  <c r="AB240"/>
  <c r="AB235"/>
  <c r="AB236"/>
  <c r="AB237"/>
  <c r="AB234"/>
  <c r="AD229"/>
  <c r="Z229" s="1"/>
  <c r="AB229"/>
  <c r="Y229" s="1"/>
  <c r="AB230"/>
  <c r="AB231"/>
  <c r="AB228"/>
  <c r="AB223"/>
  <c r="AB224"/>
  <c r="AB225"/>
  <c r="AB222"/>
  <c r="AB217"/>
  <c r="AB218"/>
  <c r="AB219"/>
  <c r="AB216"/>
  <c r="AB211"/>
  <c r="AB212"/>
  <c r="AB213"/>
  <c r="AB210"/>
  <c r="AB205"/>
  <c r="AB206"/>
  <c r="AB207"/>
  <c r="AB204"/>
  <c r="AB199"/>
  <c r="AB200"/>
  <c r="AB201"/>
  <c r="AB198"/>
  <c r="AD195"/>
  <c r="Z195" s="1"/>
  <c r="AB193"/>
  <c r="AB194"/>
  <c r="AB195"/>
  <c r="AB192"/>
  <c r="AD187"/>
  <c r="Z187" s="1"/>
  <c r="AD188"/>
  <c r="AD189"/>
  <c r="AB187"/>
  <c r="AB188"/>
  <c r="AB189"/>
  <c r="AB186"/>
  <c r="AB181"/>
  <c r="AB182"/>
  <c r="AB183"/>
  <c r="AB180"/>
  <c r="AB175"/>
  <c r="AB176"/>
  <c r="AB177"/>
  <c r="AB174"/>
  <c r="AD171"/>
  <c r="AB169"/>
  <c r="AB170"/>
  <c r="AB171"/>
  <c r="AB168"/>
  <c r="AD165"/>
  <c r="Z165" s="1"/>
  <c r="AB163"/>
  <c r="Y163" s="1"/>
  <c r="AB164"/>
  <c r="Y164" s="1"/>
  <c r="AB165"/>
  <c r="Y165" s="1"/>
  <c r="AB162"/>
  <c r="AB157"/>
  <c r="Y157" s="1"/>
  <c r="AB158"/>
  <c r="Y158" s="1"/>
  <c r="AB159"/>
  <c r="Y159" s="1"/>
  <c r="AB156"/>
  <c r="Y156" s="1"/>
  <c r="AB152"/>
  <c r="Y152" s="1"/>
  <c r="AB153"/>
  <c r="Y153" s="1"/>
  <c r="AB146"/>
  <c r="Y146" s="1"/>
  <c r="AB147"/>
  <c r="Y147" s="1"/>
  <c r="AB144"/>
  <c r="Y144" s="1"/>
  <c r="Y137"/>
  <c r="AB140"/>
  <c r="Y140" s="1"/>
  <c r="AB141"/>
  <c r="Y141" s="1"/>
  <c r="AB139"/>
  <c r="Y139" s="1"/>
  <c r="AD21"/>
  <c r="AD24"/>
  <c r="AD26"/>
  <c r="AD27"/>
  <c r="AD28"/>
  <c r="AD29"/>
  <c r="AD30"/>
  <c r="AD31"/>
  <c r="AD32"/>
  <c r="AD47"/>
  <c r="AD48"/>
  <c r="AD56"/>
  <c r="AD57"/>
  <c r="AD62"/>
  <c r="AD63"/>
  <c r="AD64"/>
  <c r="AD65"/>
  <c r="AD66"/>
  <c r="AD67"/>
  <c r="AD77"/>
  <c r="AD79"/>
  <c r="AD80"/>
  <c r="AD81"/>
  <c r="AD83"/>
  <c r="AD84"/>
  <c r="AD85"/>
  <c r="AD86"/>
  <c r="AD87"/>
  <c r="AD88"/>
  <c r="AD89"/>
  <c r="AD93"/>
  <c r="AD99"/>
  <c r="AD100"/>
  <c r="AD101"/>
  <c r="AD102"/>
  <c r="AD103"/>
  <c r="AD105"/>
  <c r="AD106"/>
  <c r="AD114"/>
  <c r="AD135"/>
  <c r="AD136"/>
  <c r="AB23"/>
  <c r="AB24"/>
  <c r="AB25"/>
  <c r="AB26"/>
  <c r="AB27"/>
  <c r="AB28"/>
  <c r="AB29"/>
  <c r="AB30"/>
  <c r="AB31"/>
  <c r="AB32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1"/>
  <c r="AB92"/>
  <c r="AB93"/>
  <c r="AB94"/>
  <c r="AB95"/>
  <c r="AB96"/>
  <c r="AB97"/>
  <c r="AB98"/>
  <c r="AB99"/>
  <c r="AB100"/>
  <c r="AB101"/>
  <c r="AB102"/>
  <c r="AB103"/>
  <c r="AB105"/>
  <c r="AB106"/>
  <c r="AB108"/>
  <c r="AB109"/>
  <c r="AB110"/>
  <c r="AB111"/>
  <c r="AB112"/>
  <c r="AB113"/>
  <c r="AB114"/>
  <c r="AB115"/>
  <c r="AB116"/>
  <c r="AB117"/>
  <c r="AB118"/>
  <c r="AB119"/>
  <c r="AB120"/>
  <c r="AB121"/>
  <c r="AB123"/>
  <c r="AB124"/>
  <c r="AB125"/>
  <c r="AB126"/>
  <c r="AB127"/>
  <c r="AB128"/>
  <c r="AB129"/>
  <c r="AB130"/>
  <c r="AB131"/>
  <c r="AB132"/>
  <c r="AB133"/>
  <c r="AB134"/>
  <c r="AB135"/>
  <c r="AB136"/>
  <c r="AB22"/>
  <c r="AB19"/>
  <c r="AB20"/>
  <c r="AB18"/>
  <c r="AB11"/>
  <c r="AB12"/>
  <c r="AB13"/>
  <c r="AB14"/>
  <c r="AB15"/>
  <c r="AB10"/>
  <c r="K2041"/>
  <c r="K2400"/>
  <c r="K1618"/>
  <c r="K1470"/>
  <c r="K1392"/>
  <c r="K1600"/>
  <c r="K2513"/>
  <c r="AB352" l="1"/>
  <c r="Y162"/>
  <c r="Y166" s="1"/>
  <c r="AB166"/>
  <c r="AB299"/>
  <c r="AD299"/>
  <c r="Y171"/>
  <c r="Z171"/>
  <c r="AB172"/>
  <c r="AB263"/>
  <c r="AB270"/>
  <c r="AB137"/>
  <c r="AC2267"/>
  <c r="AC2276"/>
  <c r="AC2280"/>
  <c r="AD2280" s="1"/>
  <c r="J2295"/>
  <c r="AA2295"/>
  <c r="AC2263"/>
  <c r="AC2286"/>
  <c r="AD2286" s="1"/>
  <c r="AC2290"/>
  <c r="AD2290" s="1"/>
  <c r="AD2276"/>
  <c r="AD2267"/>
  <c r="AD2263"/>
  <c r="AD2257"/>
  <c r="AB2293"/>
  <c r="AB2289"/>
  <c r="AB2290"/>
  <c r="AB2288"/>
  <c r="AB2284"/>
  <c r="AB2286"/>
  <c r="AB2283"/>
  <c r="AB2267"/>
  <c r="AB2268"/>
  <c r="AB2269"/>
  <c r="AB2270"/>
  <c r="AB2271"/>
  <c r="AB2272"/>
  <c r="AB2273"/>
  <c r="AB2274"/>
  <c r="AB2275"/>
  <c r="AB2276"/>
  <c r="AB2277"/>
  <c r="AB2278"/>
  <c r="AB2279"/>
  <c r="AB2280"/>
  <c r="AB2266"/>
  <c r="AB2260"/>
  <c r="AB2261"/>
  <c r="AB2262"/>
  <c r="AB2263"/>
  <c r="AB2264"/>
  <c r="AB2259"/>
  <c r="AC2253"/>
  <c r="AC2254"/>
  <c r="AC2255"/>
  <c r="AC2252"/>
  <c r="AD2253"/>
  <c r="AD2254"/>
  <c r="AD2255"/>
  <c r="AD2252"/>
  <c r="K2224"/>
  <c r="K2190"/>
  <c r="K2148"/>
  <c r="K2141"/>
  <c r="K2134"/>
  <c r="K2127"/>
  <c r="K2121"/>
  <c r="K2114"/>
  <c r="K2107" l="1"/>
  <c r="K2101"/>
  <c r="K2094"/>
  <c r="K2088"/>
  <c r="K2080"/>
  <c r="K2073"/>
  <c r="K2066"/>
  <c r="K2059"/>
  <c r="K1923"/>
  <c r="K2052"/>
  <c r="K2027"/>
  <c r="K2016"/>
  <c r="K2004"/>
  <c r="K1981"/>
  <c r="K1959"/>
  <c r="K1946"/>
  <c r="K1934"/>
  <c r="K1890"/>
  <c r="K1880"/>
  <c r="K1859"/>
  <c r="B1849"/>
  <c r="B1850" s="1"/>
  <c r="B1852" s="1"/>
  <c r="K1845"/>
  <c r="K1804"/>
  <c r="K1787"/>
  <c r="K1646"/>
  <c r="K1545"/>
  <c r="K1420"/>
  <c r="K793"/>
  <c r="K690"/>
  <c r="K683"/>
  <c r="K674"/>
  <c r="K667"/>
  <c r="K658"/>
  <c r="K626"/>
  <c r="K619"/>
  <c r="K588"/>
  <c r="K567"/>
  <c r="K559"/>
  <c r="K547"/>
  <c r="K514"/>
  <c r="K465"/>
  <c r="K417"/>
  <c r="K375"/>
  <c r="K369"/>
  <c r="K352"/>
  <c r="K342"/>
  <c r="K317"/>
  <c r="K306"/>
  <c r="K299"/>
  <c r="K263"/>
  <c r="K256"/>
  <c r="AB255" s="1"/>
  <c r="AB256" s="1"/>
  <c r="J137"/>
  <c r="K172"/>
  <c r="K166"/>
  <c r="K137"/>
  <c r="AA1348" l="1"/>
  <c r="AC791"/>
  <c r="K1673"/>
  <c r="AA1501"/>
  <c r="AB1025"/>
  <c r="AB1023"/>
  <c r="AB1021"/>
  <c r="AB1702"/>
  <c r="AB1695"/>
  <c r="AB1696"/>
  <c r="AB1697"/>
  <c r="AB1698"/>
  <c r="AB1694"/>
  <c r="AC2334"/>
  <c r="AD2334" s="1"/>
  <c r="AC2335"/>
  <c r="AC2336"/>
  <c r="AD2336" s="1"/>
  <c r="AC2337"/>
  <c r="AD2337" s="1"/>
  <c r="AC2338"/>
  <c r="AD2338" s="1"/>
  <c r="AC2339"/>
  <c r="AD2339" s="1"/>
  <c r="AC2340"/>
  <c r="AD2340" s="1"/>
  <c r="AC2341"/>
  <c r="AD2341" s="1"/>
  <c r="AC2342"/>
  <c r="AD2342" s="1"/>
  <c r="AC2343"/>
  <c r="AD2343" s="1"/>
  <c r="AC2344"/>
  <c r="AD2344" s="1"/>
  <c r="AC2345"/>
  <c r="AD2345" s="1"/>
  <c r="AC2346"/>
  <c r="AD2346" s="1"/>
  <c r="AC2347"/>
  <c r="AD2347" s="1"/>
  <c r="AC2348"/>
  <c r="AD2348" s="1"/>
  <c r="AC2349"/>
  <c r="AD2349" s="1"/>
  <c r="AC2350"/>
  <c r="AD2350" s="1"/>
  <c r="AC2351"/>
  <c r="AD2351" s="1"/>
  <c r="AC2352"/>
  <c r="AD2352" s="1"/>
  <c r="AC2353"/>
  <c r="AD2353" s="1"/>
  <c r="AC2354"/>
  <c r="AD2354" s="1"/>
  <c r="AC2355"/>
  <c r="AD2355" s="1"/>
  <c r="AC2356"/>
  <c r="AD2356" s="1"/>
  <c r="AC2357"/>
  <c r="AD2357" s="1"/>
  <c r="AC2358"/>
  <c r="AD2358" s="1"/>
  <c r="AD2335"/>
  <c r="AB2331"/>
  <c r="AB2299"/>
  <c r="AB2301"/>
  <c r="AB2302"/>
  <c r="AB2303"/>
  <c r="AB2304"/>
  <c r="AB2305"/>
  <c r="AB2306"/>
  <c r="AB2307"/>
  <c r="AB2309"/>
  <c r="AB2310"/>
  <c r="AB2311"/>
  <c r="AB2312"/>
  <c r="AB2313"/>
  <c r="AB2316"/>
  <c r="AB2317"/>
  <c r="AB2318"/>
  <c r="AB2319"/>
  <c r="AB2320"/>
  <c r="AB2321"/>
  <c r="AB2328"/>
  <c r="AB2329"/>
  <c r="AB2359"/>
  <c r="AB2364"/>
  <c r="AB2367"/>
  <c r="AB2370"/>
  <c r="AB2371"/>
  <c r="AB2394"/>
  <c r="AB2398"/>
  <c r="AB2298"/>
  <c r="Y1781"/>
  <c r="AB1760"/>
  <c r="AB1756"/>
  <c r="AC1754"/>
  <c r="AD1754" s="1"/>
  <c r="AB1754"/>
  <c r="AB1753"/>
  <c r="AC1753"/>
  <c r="AD1753" s="1"/>
  <c r="AB1752"/>
  <c r="AB1751"/>
  <c r="AB1750"/>
  <c r="AB1749"/>
  <c r="AB1748"/>
  <c r="AB1747"/>
  <c r="AB1731"/>
  <c r="AB1730"/>
  <c r="AB1729"/>
  <c r="AB1679"/>
  <c r="AB1680"/>
  <c r="AB1678"/>
  <c r="AB1690"/>
  <c r="AC1690"/>
  <c r="AB1687"/>
  <c r="AB1688"/>
  <c r="AB1689"/>
  <c r="AB1686"/>
  <c r="AC1685"/>
  <c r="AB1685"/>
  <c r="AB1683"/>
  <c r="AC2239"/>
  <c r="AD2239" s="1"/>
  <c r="Y1392"/>
  <c r="AA1392"/>
  <c r="AB1363"/>
  <c r="AC1363"/>
  <c r="AD1363" s="1"/>
  <c r="AC1386"/>
  <c r="AD1386" s="1"/>
  <c r="AD1355"/>
  <c r="AD1376"/>
  <c r="AD1389"/>
  <c r="AD1391"/>
  <c r="AB1352"/>
  <c r="AB1353"/>
  <c r="AB1354"/>
  <c r="AB1355"/>
  <c r="AB1356"/>
  <c r="AB1357"/>
  <c r="AB1359"/>
  <c r="AB1360"/>
  <c r="AB1361"/>
  <c r="AB1362"/>
  <c r="AB1364"/>
  <c r="AB1365"/>
  <c r="AB1366"/>
  <c r="AB1367"/>
  <c r="AB1371"/>
  <c r="AB1372"/>
  <c r="AB1373"/>
  <c r="AB1374"/>
  <c r="AB1375"/>
  <c r="AB1376"/>
  <c r="AB1377"/>
  <c r="AB1378"/>
  <c r="AB1382"/>
  <c r="AB1383"/>
  <c r="AB1384"/>
  <c r="AB1385"/>
  <c r="AB1386"/>
  <c r="AB1387"/>
  <c r="AB1388"/>
  <c r="AB1389"/>
  <c r="AB1390"/>
  <c r="AB1391"/>
  <c r="AB1351"/>
  <c r="AC2442"/>
  <c r="AD2442" s="1"/>
  <c r="AD2413"/>
  <c r="AD2414"/>
  <c r="AD2415"/>
  <c r="AD2438"/>
  <c r="AD2439"/>
  <c r="AD2441"/>
  <c r="AD2445"/>
  <c r="AD2446"/>
  <c r="AD2447"/>
  <c r="AD2448"/>
  <c r="AB2438"/>
  <c r="AB2439"/>
  <c r="AB2440"/>
  <c r="AB2441"/>
  <c r="AB2442"/>
  <c r="AB2444"/>
  <c r="AB2445"/>
  <c r="AB2446"/>
  <c r="AB2447"/>
  <c r="AB2448"/>
  <c r="AD2437"/>
  <c r="AB2437"/>
  <c r="AD2435"/>
  <c r="AB2435"/>
  <c r="AD2434"/>
  <c r="AB2434"/>
  <c r="AD2419"/>
  <c r="AD2420"/>
  <c r="AD2422"/>
  <c r="AD2423"/>
  <c r="AD2424"/>
  <c r="AB2419"/>
  <c r="AB2420"/>
  <c r="AB2421"/>
  <c r="AB2422"/>
  <c r="AB2423"/>
  <c r="AB2424"/>
  <c r="AB2426"/>
  <c r="AD2418"/>
  <c r="AB2418"/>
  <c r="K2449"/>
  <c r="Z1934"/>
  <c r="Y1934"/>
  <c r="B1927"/>
  <c r="B1928" s="1"/>
  <c r="B1929" s="1"/>
  <c r="B1930" s="1"/>
  <c r="B1931" s="1"/>
  <c r="AC1672"/>
  <c r="AC1655"/>
  <c r="AD1655" s="1"/>
  <c r="AD1672"/>
  <c r="AB1650"/>
  <c r="AB1651"/>
  <c r="AB1652"/>
  <c r="AB1653"/>
  <c r="AB1654"/>
  <c r="AB1655"/>
  <c r="AB1657"/>
  <c r="AB1658"/>
  <c r="AB1659"/>
  <c r="AB1660"/>
  <c r="AB1661"/>
  <c r="AB1662"/>
  <c r="AB1663"/>
  <c r="AB1666"/>
  <c r="AB1668"/>
  <c r="AB1669"/>
  <c r="AB1670"/>
  <c r="AB1671"/>
  <c r="AB1672"/>
  <c r="AB1649"/>
  <c r="AC1666"/>
  <c r="AD1666" s="1"/>
  <c r="Z1335"/>
  <c r="Y1335"/>
  <c r="Z1319"/>
  <c r="Y1319"/>
  <c r="Z1312"/>
  <c r="Y1312"/>
  <c r="Z1303"/>
  <c r="Y1303"/>
  <c r="Z1301"/>
  <c r="Y1301"/>
  <c r="AC1311"/>
  <c r="AD1311" s="1"/>
  <c r="AC1338"/>
  <c r="AC1337"/>
  <c r="AC1302"/>
  <c r="AD1302" s="1"/>
  <c r="AC1301"/>
  <c r="AC1300"/>
  <c r="AD1300" s="1"/>
  <c r="AD1322"/>
  <c r="AD1323"/>
  <c r="AD1337"/>
  <c r="AD1338"/>
  <c r="AD1342"/>
  <c r="AD1347"/>
  <c r="AB1298"/>
  <c r="AB1299"/>
  <c r="AB1300"/>
  <c r="AB1302"/>
  <c r="AB1304"/>
  <c r="AB1305"/>
  <c r="AB1306"/>
  <c r="AB1307"/>
  <c r="AB1308"/>
  <c r="AB1309"/>
  <c r="AB1310"/>
  <c r="AB1311"/>
  <c r="AB1313"/>
  <c r="AB1314"/>
  <c r="AB1315"/>
  <c r="AB1316"/>
  <c r="AB1317"/>
  <c r="AB1318"/>
  <c r="AB1320"/>
  <c r="AB1321"/>
  <c r="AB1322"/>
  <c r="AB1323"/>
  <c r="AB1325"/>
  <c r="AB1326"/>
  <c r="AB1327"/>
  <c r="AB1328"/>
  <c r="AB1329"/>
  <c r="AB1330"/>
  <c r="AB1331"/>
  <c r="AB1332"/>
  <c r="AB1333"/>
  <c r="AB1334"/>
  <c r="AB1336"/>
  <c r="AB1337"/>
  <c r="AB1338"/>
  <c r="AB1339"/>
  <c r="AB1340"/>
  <c r="AB1341"/>
  <c r="AB1342"/>
  <c r="AB1344"/>
  <c r="AB1345"/>
  <c r="AB1346"/>
  <c r="AB1347"/>
  <c r="AB1297"/>
  <c r="Y1348" l="1"/>
  <c r="Z1348"/>
  <c r="Y1666"/>
  <c r="Z1666"/>
  <c r="AD1690"/>
  <c r="AB1787"/>
  <c r="AD791"/>
  <c r="AC790"/>
  <c r="AB1673"/>
  <c r="AB2400"/>
  <c r="AB1348"/>
  <c r="AB1392"/>
  <c r="Y1785"/>
  <c r="K1348"/>
  <c r="AD1609"/>
  <c r="AB1604"/>
  <c r="AB1605"/>
  <c r="AB1606"/>
  <c r="AB1607"/>
  <c r="AB1608"/>
  <c r="AB1609"/>
  <c r="AB1611"/>
  <c r="AB1612"/>
  <c r="AB1613"/>
  <c r="AB1615"/>
  <c r="AB1617"/>
  <c r="AB1603"/>
  <c r="AC1933"/>
  <c r="AD1933" s="1"/>
  <c r="AC1930"/>
  <c r="AD1930" s="1"/>
  <c r="AC1928"/>
  <c r="AD1928" s="1"/>
  <c r="AC1927"/>
  <c r="AD1927" s="1"/>
  <c r="AB1928"/>
  <c r="AB1929"/>
  <c r="AB1930"/>
  <c r="AB1931"/>
  <c r="AB1933"/>
  <c r="AB1927"/>
  <c r="B1963"/>
  <c r="B1964" s="1"/>
  <c r="B1965" s="1"/>
  <c r="B1966" s="1"/>
  <c r="B1967" s="1"/>
  <c r="AB1964"/>
  <c r="Y1964" s="1"/>
  <c r="AB1965"/>
  <c r="Y1965" s="1"/>
  <c r="AB1966"/>
  <c r="Y1966" s="1"/>
  <c r="AB1967"/>
  <c r="AB1969"/>
  <c r="AB1963"/>
  <c r="K1970"/>
  <c r="AD2158"/>
  <c r="AD2159"/>
  <c r="AD2160"/>
  <c r="AD2161"/>
  <c r="AD2162"/>
  <c r="AD2163"/>
  <c r="AD2166"/>
  <c r="AD2168"/>
  <c r="AD2169"/>
  <c r="AD2170"/>
  <c r="AD2171"/>
  <c r="AD2172"/>
  <c r="AD2173"/>
  <c r="AD2174"/>
  <c r="AD2175"/>
  <c r="AD2176"/>
  <c r="AD2180"/>
  <c r="AD2181"/>
  <c r="AD2182"/>
  <c r="AD2183"/>
  <c r="AD2184"/>
  <c r="AD2185"/>
  <c r="AD2186"/>
  <c r="AD2187"/>
  <c r="AD2188"/>
  <c r="AD2157"/>
  <c r="AB2158"/>
  <c r="AB2159"/>
  <c r="AB2160"/>
  <c r="AB2161"/>
  <c r="AB2162"/>
  <c r="AB2163"/>
  <c r="AB2166"/>
  <c r="AB2168"/>
  <c r="AB2169"/>
  <c r="AB2170"/>
  <c r="AB2171"/>
  <c r="AB2172"/>
  <c r="AB2173"/>
  <c r="AB2174"/>
  <c r="AB2175"/>
  <c r="AB2176"/>
  <c r="AB2179"/>
  <c r="AB2180"/>
  <c r="AB2181"/>
  <c r="AB2182"/>
  <c r="AB2183"/>
  <c r="AB2184"/>
  <c r="AB2185"/>
  <c r="AB2186"/>
  <c r="AB2187"/>
  <c r="AB2188"/>
  <c r="AB2157"/>
  <c r="AB2130"/>
  <c r="AB2131"/>
  <c r="AB2132"/>
  <c r="AB2129"/>
  <c r="AD2466"/>
  <c r="AD2507"/>
  <c r="AD2511"/>
  <c r="AB2456"/>
  <c r="AB2457"/>
  <c r="AB2458"/>
  <c r="AB2459"/>
  <c r="AB2460"/>
  <c r="AB2461"/>
  <c r="AB2462"/>
  <c r="AB2463"/>
  <c r="AB2464"/>
  <c r="AB2465"/>
  <c r="AB2466"/>
  <c r="AB2467"/>
  <c r="AB2468"/>
  <c r="AB2469"/>
  <c r="AB2470"/>
  <c r="AB2471"/>
  <c r="AB2476"/>
  <c r="AB2477"/>
  <c r="AB2478"/>
  <c r="AB2479"/>
  <c r="AB2480"/>
  <c r="AB2481"/>
  <c r="AB2482"/>
  <c r="AB2485"/>
  <c r="AB2486"/>
  <c r="AB2487"/>
  <c r="AB2488"/>
  <c r="AB2489"/>
  <c r="AB2490"/>
  <c r="AB2492"/>
  <c r="AB2493"/>
  <c r="AB2494"/>
  <c r="AB2495"/>
  <c r="AB2496"/>
  <c r="AB2498"/>
  <c r="AB2500"/>
  <c r="AB2501"/>
  <c r="AB2502"/>
  <c r="AB2503"/>
  <c r="AB2504"/>
  <c r="AB2505"/>
  <c r="AB2506"/>
  <c r="AB2507"/>
  <c r="AB2508"/>
  <c r="AB2509"/>
  <c r="AB2511"/>
  <c r="AB2455"/>
  <c r="Y2457"/>
  <c r="Y2462"/>
  <c r="Y2466"/>
  <c r="Y2482"/>
  <c r="Y2498"/>
  <c r="AD1866"/>
  <c r="Z1866" s="1"/>
  <c r="AB1863"/>
  <c r="AB1864"/>
  <c r="AB1865"/>
  <c r="AB1866"/>
  <c r="AB1868"/>
  <c r="AB1862"/>
  <c r="K1869"/>
  <c r="AB1986"/>
  <c r="Y1986" s="1"/>
  <c r="AB1987"/>
  <c r="Y1987" s="1"/>
  <c r="AB1988"/>
  <c r="Y1988" s="1"/>
  <c r="AB1989"/>
  <c r="Y1989" s="1"/>
  <c r="AB1990"/>
  <c r="Y1990" s="1"/>
  <c r="AB1992"/>
  <c r="Y1992" s="1"/>
  <c r="AB1984"/>
  <c r="K1993"/>
  <c r="AB1808"/>
  <c r="AB1809"/>
  <c r="AB1810"/>
  <c r="AB1811"/>
  <c r="AB1812"/>
  <c r="AB1814"/>
  <c r="AB1815"/>
  <c r="AB1816"/>
  <c r="AB1817"/>
  <c r="AB1818"/>
  <c r="AB1819"/>
  <c r="AB1820"/>
  <c r="AB1821"/>
  <c r="AB1822"/>
  <c r="AB1823"/>
  <c r="AB1824"/>
  <c r="AB1826"/>
  <c r="AB1827"/>
  <c r="AB1828"/>
  <c r="AB1829"/>
  <c r="AB1807"/>
  <c r="K1830"/>
  <c r="AC1479"/>
  <c r="AD1479" s="1"/>
  <c r="AD1496"/>
  <c r="AD1497"/>
  <c r="AD1498"/>
  <c r="Z1498" s="1"/>
  <c r="AD1499"/>
  <c r="AD1500"/>
  <c r="Z1500" s="1"/>
  <c r="AB1474"/>
  <c r="AB1475"/>
  <c r="AB1476"/>
  <c r="AB1477"/>
  <c r="AB1478"/>
  <c r="AB1479"/>
  <c r="Y1479" s="1"/>
  <c r="AB1481"/>
  <c r="AB1482"/>
  <c r="AB1483"/>
  <c r="AB1484"/>
  <c r="AB1485"/>
  <c r="AB1486"/>
  <c r="AB1487"/>
  <c r="AB1488"/>
  <c r="Y1488" s="1"/>
  <c r="AB1489"/>
  <c r="Y1489" s="1"/>
  <c r="AB1490"/>
  <c r="Y1490" s="1"/>
  <c r="AB1491"/>
  <c r="Y1491" s="1"/>
  <c r="AB1492"/>
  <c r="Y1492" s="1"/>
  <c r="AB1493"/>
  <c r="Y1493" s="1"/>
  <c r="AB1494"/>
  <c r="Y1494" s="1"/>
  <c r="AB1495"/>
  <c r="Y1495" s="1"/>
  <c r="AB1496"/>
  <c r="AB1497"/>
  <c r="Y1497" s="1"/>
  <c r="AB1498"/>
  <c r="Y1498" s="1"/>
  <c r="AB1499"/>
  <c r="AB1500"/>
  <c r="Y1500" s="1"/>
  <c r="AB1473"/>
  <c r="B1481"/>
  <c r="K1501"/>
  <c r="Y1963" l="1"/>
  <c r="AB1970"/>
  <c r="Y1993"/>
  <c r="AB2134"/>
  <c r="Y1496"/>
  <c r="Y1499"/>
  <c r="Z1499"/>
  <c r="Z1497"/>
  <c r="Z1479"/>
  <c r="Z1496"/>
  <c r="AB1830"/>
  <c r="Y2513"/>
  <c r="AB2513"/>
  <c r="AB2190"/>
  <c r="AB1501"/>
  <c r="AB1869"/>
  <c r="AB1934"/>
  <c r="AD1430"/>
  <c r="Z1430" s="1"/>
  <c r="AD1431"/>
  <c r="Z1431" s="1"/>
  <c r="AD1429"/>
  <c r="Z1429" s="1"/>
  <c r="AD1427"/>
  <c r="Z1427" s="1"/>
  <c r="AD1424"/>
  <c r="Z1424" s="1"/>
  <c r="AD1425"/>
  <c r="Z1425" s="1"/>
  <c r="AD1426"/>
  <c r="Z1426" s="1"/>
  <c r="AD1423"/>
  <c r="Z1423" s="1"/>
  <c r="AB1430"/>
  <c r="Y1430" s="1"/>
  <c r="AB1431"/>
  <c r="Y1431" s="1"/>
  <c r="AB1432"/>
  <c r="Y1432" s="1"/>
  <c r="AB1433"/>
  <c r="Y1433" s="1"/>
  <c r="AB1434"/>
  <c r="Y1434" s="1"/>
  <c r="AB1435"/>
  <c r="Y1435" s="1"/>
  <c r="AB1436"/>
  <c r="Y1436" s="1"/>
  <c r="AB1429"/>
  <c r="Y1429" s="1"/>
  <c r="AB1424"/>
  <c r="Y1424" s="1"/>
  <c r="AB1425"/>
  <c r="Y1425" s="1"/>
  <c r="AB1426"/>
  <c r="Y1426" s="1"/>
  <c r="AB1427"/>
  <c r="Y1427" s="1"/>
  <c r="AB1423"/>
  <c r="Y1423" s="1"/>
  <c r="Y1437" l="1"/>
  <c r="AA2154"/>
  <c r="K2154"/>
  <c r="AC2144" l="1"/>
  <c r="AD2144" s="1"/>
  <c r="AB2145"/>
  <c r="AC2146"/>
  <c r="AD2146" s="1"/>
  <c r="AC1642"/>
  <c r="AD1642" s="1"/>
  <c r="AC1641"/>
  <c r="AD1641" s="1"/>
  <c r="AB2116"/>
  <c r="AB2121" l="1"/>
  <c r="AB2143"/>
  <c r="AA2148"/>
  <c r="AC1375"/>
  <c r="AD1375" s="1"/>
  <c r="AC1374"/>
  <c r="AD1374" s="1"/>
  <c r="AC2390"/>
  <c r="AC2389"/>
  <c r="AC2388"/>
  <c r="AC2387"/>
  <c r="AC2386"/>
  <c r="AC2385"/>
  <c r="AC2384"/>
  <c r="AC2383"/>
  <c r="AC2382"/>
  <c r="AC2381"/>
  <c r="AC2380"/>
  <c r="AC2379"/>
  <c r="AC2378"/>
  <c r="AC2377"/>
  <c r="AC2374"/>
  <c r="AC2373"/>
  <c r="AC2372"/>
  <c r="AC2333"/>
  <c r="AD2333" s="1"/>
  <c r="AC2332"/>
  <c r="AD2332" s="1"/>
  <c r="AA2400"/>
  <c r="AC1736"/>
  <c r="AD1736" s="1"/>
  <c r="AB371"/>
  <c r="AB1024"/>
  <c r="AC698"/>
  <c r="AD698" s="1"/>
  <c r="AC1321"/>
  <c r="AD1321" s="1"/>
  <c r="AC1330"/>
  <c r="AD1330" s="1"/>
  <c r="AC1331"/>
  <c r="AD1331" s="1"/>
  <c r="AC1332"/>
  <c r="AD1332" s="1"/>
  <c r="AC1333"/>
  <c r="AD1333" s="1"/>
  <c r="AC1334"/>
  <c r="AD1334" s="1"/>
  <c r="AC1335"/>
  <c r="AC1341"/>
  <c r="AD1341" s="1"/>
  <c r="AB2148" l="1"/>
  <c r="Y2143"/>
  <c r="AB375"/>
  <c r="AC2498"/>
  <c r="AD2498" s="1"/>
  <c r="AC1200"/>
  <c r="AC1153"/>
  <c r="AC1107"/>
  <c r="AC1095"/>
  <c r="AC715"/>
  <c r="AD715" s="1"/>
  <c r="AC716"/>
  <c r="AD716" s="1"/>
  <c r="AC732"/>
  <c r="AD732" s="1"/>
  <c r="AC763"/>
  <c r="AD763" s="1"/>
  <c r="AC764"/>
  <c r="AD764" s="1"/>
  <c r="AC736"/>
  <c r="AD736" s="1"/>
  <c r="AC2198"/>
  <c r="AD2198" s="1"/>
  <c r="AC1676"/>
  <c r="AC830"/>
  <c r="AD830" s="1"/>
  <c r="AC1824"/>
  <c r="AD1824" s="1"/>
  <c r="AC1810"/>
  <c r="AD1810" s="1"/>
  <c r="AC1809"/>
  <c r="AD1809" s="1"/>
  <c r="AC1807"/>
  <c r="AD1807" s="1"/>
  <c r="AC1210"/>
  <c r="AC1209"/>
  <c r="AC1147"/>
  <c r="AD1147" l="1"/>
  <c r="AD1210"/>
  <c r="AD1107"/>
  <c r="AD1209"/>
  <c r="AD1200"/>
  <c r="AD1095"/>
  <c r="AD1153"/>
  <c r="AD1676"/>
  <c r="AC2307"/>
  <c r="AD2307" s="1"/>
  <c r="AC2270"/>
  <c r="AD2270" s="1"/>
  <c r="AA1830"/>
  <c r="AC1829"/>
  <c r="AD1829" s="1"/>
  <c r="AC1897"/>
  <c r="AD1897" s="1"/>
  <c r="Y1617"/>
  <c r="Y1609"/>
  <c r="Z1609"/>
  <c r="AC1443"/>
  <c r="AD1443" s="1"/>
  <c r="AC1444"/>
  <c r="AD1444" s="1"/>
  <c r="AC1445"/>
  <c r="AD1445" s="1"/>
  <c r="AC1446"/>
  <c r="AD1446" s="1"/>
  <c r="AC1447"/>
  <c r="AD1447" s="1"/>
  <c r="AC1448"/>
  <c r="AD1448" s="1"/>
  <c r="AC1442"/>
  <c r="AD1442" s="1"/>
  <c r="AC1453"/>
  <c r="AD1453" s="1"/>
  <c r="AC1454"/>
  <c r="AD1454" s="1"/>
  <c r="AC1457"/>
  <c r="AD1457" s="1"/>
  <c r="AC1464"/>
  <c r="AD1464" s="1"/>
  <c r="AB2257" l="1"/>
  <c r="AB2252"/>
  <c r="AB2253"/>
  <c r="AB2254"/>
  <c r="AB2255"/>
  <c r="AC2289"/>
  <c r="AD2289" s="1"/>
  <c r="AC1194"/>
  <c r="AC1167"/>
  <c r="AC1146"/>
  <c r="AC1089"/>
  <c r="AC1063"/>
  <c r="Z936"/>
  <c r="AC936"/>
  <c r="AD936" s="1"/>
  <c r="AD1146" l="1"/>
  <c r="AD1194"/>
  <c r="AB2295"/>
  <c r="AD1167"/>
  <c r="AD1089"/>
  <c r="AD1063"/>
  <c r="Y936"/>
  <c r="AC1365"/>
  <c r="AD1365" s="1"/>
  <c r="AC1364"/>
  <c r="AD1364" s="1"/>
  <c r="AC1367"/>
  <c r="AD1367" s="1"/>
  <c r="AC2396"/>
  <c r="AC2397"/>
  <c r="AC2395"/>
  <c r="AC2376"/>
  <c r="AC2375"/>
  <c r="AC1752"/>
  <c r="AD1752" s="1"/>
  <c r="AC1751"/>
  <c r="AD1751" s="1"/>
  <c r="AC1748"/>
  <c r="AD1748" s="1"/>
  <c r="AC1823" l="1"/>
  <c r="AD1823" s="1"/>
  <c r="AC1822"/>
  <c r="AD1822" s="1"/>
  <c r="AC1821"/>
  <c r="AD1821" s="1"/>
  <c r="AC1820"/>
  <c r="AC1819"/>
  <c r="AC1463"/>
  <c r="AD1463" s="1"/>
  <c r="AD1820" l="1"/>
  <c r="AD1819"/>
  <c r="AC354"/>
  <c r="AC2237"/>
  <c r="AD2237" s="1"/>
  <c r="Y2237"/>
  <c r="Y2239"/>
  <c r="Z2239"/>
  <c r="AC1482"/>
  <c r="AD1482" s="1"/>
  <c r="AC1478"/>
  <c r="AD1478" s="1"/>
  <c r="AC1526"/>
  <c r="Y1533"/>
  <c r="Y1535"/>
  <c r="Y1536"/>
  <c r="Z1536"/>
  <c r="Y1542"/>
  <c r="Z1542"/>
  <c r="AD1526" l="1"/>
  <c r="AD354"/>
  <c r="Z2237"/>
  <c r="Z1526" l="1"/>
  <c r="B2257"/>
  <c r="AD1432"/>
  <c r="Z1432" s="1"/>
  <c r="AD1433"/>
  <c r="Z1433" s="1"/>
  <c r="AD1434"/>
  <c r="Z1434" s="1"/>
  <c r="AD1435"/>
  <c r="Z1435" s="1"/>
  <c r="AD1436"/>
  <c r="Z1436" s="1"/>
  <c r="AC17" l="1"/>
  <c r="AC37"/>
  <c r="AC1203"/>
  <c r="AC1208"/>
  <c r="J1294"/>
  <c r="AC1198"/>
  <c r="AC1092"/>
  <c r="AC1084"/>
  <c r="AC1083"/>
  <c r="AC1090"/>
  <c r="AC1091"/>
  <c r="AC1072"/>
  <c r="AC1068"/>
  <c r="AC1056"/>
  <c r="AD1208" l="1"/>
  <c r="AD1072"/>
  <c r="AD1203"/>
  <c r="AD1198"/>
  <c r="AD1092"/>
  <c r="AD1091"/>
  <c r="AD1090"/>
  <c r="AD1084"/>
  <c r="AD1083"/>
  <c r="AD1068"/>
  <c r="AD1056"/>
  <c r="AD37"/>
  <c r="J2400"/>
  <c r="AC1840" l="1"/>
  <c r="AC1836"/>
  <c r="AC1837"/>
  <c r="AA1934"/>
  <c r="AC1818"/>
  <c r="AD1818" s="1"/>
  <c r="AC1725"/>
  <c r="AD1725" s="1"/>
  <c r="AC1726"/>
  <c r="AD1726" s="1"/>
  <c r="AC1727"/>
  <c r="AD1727" s="1"/>
  <c r="AC1700"/>
  <c r="AD1700" s="1"/>
  <c r="AD771"/>
  <c r="AD777"/>
  <c r="AD778"/>
  <c r="AD779"/>
  <c r="AD780"/>
  <c r="AD788"/>
  <c r="AD792"/>
  <c r="AB788"/>
  <c r="AA781"/>
  <c r="AC776"/>
  <c r="AC775"/>
  <c r="AC774"/>
  <c r="AC773"/>
  <c r="AC772"/>
  <c r="AC770"/>
  <c r="AC769"/>
  <c r="AA768"/>
  <c r="AC760"/>
  <c r="AC759"/>
  <c r="AC758"/>
  <c r="AC757"/>
  <c r="AC755"/>
  <c r="AC754"/>
  <c r="AC753"/>
  <c r="AC752"/>
  <c r="AC744"/>
  <c r="AC743"/>
  <c r="AC742"/>
  <c r="AC740"/>
  <c r="AC739"/>
  <c r="AC729"/>
  <c r="AC726"/>
  <c r="AC725"/>
  <c r="AC724"/>
  <c r="AC723"/>
  <c r="AC722"/>
  <c r="AC721"/>
  <c r="AC720"/>
  <c r="AC719"/>
  <c r="AC718"/>
  <c r="AC714"/>
  <c r="AC713"/>
  <c r="AC712"/>
  <c r="AC709"/>
  <c r="AC708"/>
  <c r="AC707"/>
  <c r="AC706"/>
  <c r="AC705"/>
  <c r="AC702"/>
  <c r="AC701"/>
  <c r="AC700"/>
  <c r="AC697"/>
  <c r="AC696"/>
  <c r="AC695"/>
  <c r="AC694"/>
  <c r="AC693"/>
  <c r="J1392"/>
  <c r="AD706" l="1"/>
  <c r="AD722"/>
  <c r="AD697"/>
  <c r="AD707"/>
  <c r="AD709"/>
  <c r="AD712"/>
  <c r="AD714"/>
  <c r="AD739"/>
  <c r="AD744"/>
  <c r="AD758"/>
  <c r="AD760"/>
  <c r="AB768"/>
  <c r="AD1836"/>
  <c r="AD696"/>
  <c r="AD702"/>
  <c r="AD708"/>
  <c r="AD724"/>
  <c r="AD740"/>
  <c r="AD752"/>
  <c r="AD759"/>
  <c r="AD790"/>
  <c r="AA2127"/>
  <c r="AB2123"/>
  <c r="AB2127" s="1"/>
  <c r="AD1837"/>
  <c r="AD1840"/>
  <c r="AD757"/>
  <c r="AD755"/>
  <c r="AD754"/>
  <c r="AD753"/>
  <c r="AD743"/>
  <c r="AD742"/>
  <c r="AD729"/>
  <c r="AD726"/>
  <c r="AD725"/>
  <c r="AD723"/>
  <c r="AD720"/>
  <c r="AD719"/>
  <c r="AD721"/>
  <c r="AD718"/>
  <c r="AD713"/>
  <c r="AD705"/>
  <c r="AD701"/>
  <c r="AD700"/>
  <c r="AD695"/>
  <c r="AD694"/>
  <c r="AD693"/>
  <c r="AD774"/>
  <c r="AC781"/>
  <c r="AD776"/>
  <c r="AD775"/>
  <c r="AD773"/>
  <c r="AD772"/>
  <c r="AD770"/>
  <c r="AA793"/>
  <c r="AD769"/>
  <c r="AC768"/>
  <c r="AD768" l="1"/>
  <c r="AD765"/>
  <c r="AC793"/>
  <c r="V1294" l="1"/>
  <c r="W1294"/>
  <c r="Y793" l="1"/>
  <c r="H793" l="1"/>
  <c r="H1845" l="1"/>
  <c r="H2052"/>
  <c r="H2041"/>
  <c r="H2027"/>
  <c r="AA2016"/>
  <c r="AC2007"/>
  <c r="H2016"/>
  <c r="F2016"/>
  <c r="H2004"/>
  <c r="AA1993"/>
  <c r="AC1984"/>
  <c r="H1993"/>
  <c r="F1993"/>
  <c r="Y1978"/>
  <c r="H1981"/>
  <c r="AC1964"/>
  <c r="AC1965"/>
  <c r="AC1966"/>
  <c r="AC1967"/>
  <c r="AC1969"/>
  <c r="AC1963"/>
  <c r="H1970"/>
  <c r="AA1959"/>
  <c r="H1959"/>
  <c r="F1946"/>
  <c r="AC1949"/>
  <c r="AD1949" s="1"/>
  <c r="AA1946"/>
  <c r="Y1946"/>
  <c r="AC1937"/>
  <c r="AC1943"/>
  <c r="H1946"/>
  <c r="H1934"/>
  <c r="F1924"/>
  <c r="H1923"/>
  <c r="H1901"/>
  <c r="H1890"/>
  <c r="F1890"/>
  <c r="AC1877"/>
  <c r="H1880"/>
  <c r="H1869"/>
  <c r="F1869"/>
  <c r="H1859"/>
  <c r="AC1750"/>
  <c r="AC1680"/>
  <c r="H1673"/>
  <c r="H1646"/>
  <c r="AC1643"/>
  <c r="H2224"/>
  <c r="F2191"/>
  <c r="K1437"/>
  <c r="H1618"/>
  <c r="H1437"/>
  <c r="F1437"/>
  <c r="I765"/>
  <c r="H765"/>
  <c r="H137"/>
  <c r="AC1970" l="1"/>
  <c r="AD1943"/>
  <c r="Z1943" s="1"/>
  <c r="AD1937"/>
  <c r="AD1877"/>
  <c r="Z1877" s="1"/>
  <c r="AD1984"/>
  <c r="AD2007"/>
  <c r="Z2007" s="1"/>
  <c r="AD1969"/>
  <c r="AD1966"/>
  <c r="Z1966" s="1"/>
  <c r="AD1964"/>
  <c r="Z1964" s="1"/>
  <c r="AD1680"/>
  <c r="AD1750"/>
  <c r="AD1963"/>
  <c r="AD1967"/>
  <c r="AD1965"/>
  <c r="Z1965" s="1"/>
  <c r="Y1949"/>
  <c r="Y1969"/>
  <c r="AC134"/>
  <c r="AC133"/>
  <c r="AC132"/>
  <c r="AC131"/>
  <c r="AC130"/>
  <c r="AC129"/>
  <c r="AC128"/>
  <c r="AC127"/>
  <c r="AC126"/>
  <c r="AC125"/>
  <c r="AC124"/>
  <c r="AC123"/>
  <c r="AC121"/>
  <c r="AC120"/>
  <c r="AC119"/>
  <c r="AC118"/>
  <c r="AC117"/>
  <c r="AC116"/>
  <c r="AC115"/>
  <c r="AC113"/>
  <c r="AC112"/>
  <c r="AC111"/>
  <c r="AC110"/>
  <c r="AC109"/>
  <c r="AC108"/>
  <c r="AC98"/>
  <c r="AC97"/>
  <c r="AC96"/>
  <c r="AC95"/>
  <c r="AC94"/>
  <c r="AC92"/>
  <c r="AC91"/>
  <c r="AC82"/>
  <c r="AC78"/>
  <c r="AC76"/>
  <c r="AC75"/>
  <c r="AC74"/>
  <c r="AC73"/>
  <c r="AC72"/>
  <c r="AC71"/>
  <c r="AC70"/>
  <c r="AC69"/>
  <c r="AC61"/>
  <c r="AC60"/>
  <c r="AC59"/>
  <c r="AC58"/>
  <c r="AC55"/>
  <c r="AC54"/>
  <c r="AC53"/>
  <c r="AC52"/>
  <c r="AC51"/>
  <c r="AC50"/>
  <c r="AC49"/>
  <c r="AC46"/>
  <c r="AC45"/>
  <c r="AC44"/>
  <c r="AC43"/>
  <c r="AC42"/>
  <c r="AC41"/>
  <c r="AC40"/>
  <c r="AC39"/>
  <c r="AC38"/>
  <c r="AC36"/>
  <c r="AC35"/>
  <c r="AC34"/>
  <c r="AC25"/>
  <c r="AC23"/>
  <c r="AC22"/>
  <c r="AC20"/>
  <c r="AC19"/>
  <c r="AC18"/>
  <c r="AC16"/>
  <c r="AC15"/>
  <c r="AC14"/>
  <c r="AC13"/>
  <c r="AC12"/>
  <c r="AC11"/>
  <c r="AC10"/>
  <c r="B10"/>
  <c r="B11" s="1"/>
  <c r="B12" s="1"/>
  <c r="B13" s="1"/>
  <c r="B14" s="1"/>
  <c r="B15" s="1"/>
  <c r="B16" s="1"/>
  <c r="B18" s="1"/>
  <c r="B19" s="1"/>
  <c r="B20" s="1"/>
  <c r="B35"/>
  <c r="B36" s="1"/>
  <c r="B37" s="1"/>
  <c r="B38" s="1"/>
  <c r="B39" s="1"/>
  <c r="B40" s="1"/>
  <c r="B41" s="1"/>
  <c r="B42" s="1"/>
  <c r="B43" s="1"/>
  <c r="B44" s="1"/>
  <c r="B45" s="1"/>
  <c r="B46" s="1"/>
  <c r="B70"/>
  <c r="B71" s="1"/>
  <c r="B72" s="1"/>
  <c r="B73" s="1"/>
  <c r="B74" s="1"/>
  <c r="B75" s="1"/>
  <c r="B76" s="1"/>
  <c r="B92"/>
  <c r="B109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A2589"/>
  <c r="A2604" s="1"/>
  <c r="A2625" s="1"/>
  <c r="A2636" s="1"/>
  <c r="A2644" s="1"/>
  <c r="A2652" s="1"/>
  <c r="A2660" s="1"/>
  <c r="A2668" s="1"/>
  <c r="A2676" s="1"/>
  <c r="A2684" s="1"/>
  <c r="A2692" s="1"/>
  <c r="A2700" s="1"/>
  <c r="A2708" s="1"/>
  <c r="A2716" s="1"/>
  <c r="A2724" s="1"/>
  <c r="A2732" s="1"/>
  <c r="A2740" s="1"/>
  <c r="A2748" s="1"/>
  <c r="A2757" s="1"/>
  <c r="A2765" s="1"/>
  <c r="A2773" s="1"/>
  <c r="A2781" s="1"/>
  <c r="A2787" s="1"/>
  <c r="A2793" s="1"/>
  <c r="A2799" s="1"/>
  <c r="A2804" s="1"/>
  <c r="A2810" s="1"/>
  <c r="A2815" s="1"/>
  <c r="A2821" s="1"/>
  <c r="A2827" s="1"/>
  <c r="A2833" s="1"/>
  <c r="A2838" s="1"/>
  <c r="A2843" s="1"/>
  <c r="A2849" s="1"/>
  <c r="A2855" s="1"/>
  <c r="A2861" s="1"/>
  <c r="A2867" s="1"/>
  <c r="A2897" s="1"/>
  <c r="A2922" s="1"/>
  <c r="A2946" s="1"/>
  <c r="A3006" s="1"/>
  <c r="A3136" s="1"/>
  <c r="A3171" s="1"/>
  <c r="A3218" s="1"/>
  <c r="J2513"/>
  <c r="AC2510"/>
  <c r="AD2510" s="1"/>
  <c r="AC2509"/>
  <c r="AD2509" s="1"/>
  <c r="AC2508"/>
  <c r="AD2508" s="1"/>
  <c r="AC2506"/>
  <c r="AD2506" s="1"/>
  <c r="AC2505"/>
  <c r="AD2505" s="1"/>
  <c r="AC2504"/>
  <c r="AD2504" s="1"/>
  <c r="AC2503"/>
  <c r="AC2502"/>
  <c r="AD2502" s="1"/>
  <c r="AC2501"/>
  <c r="AD2501" s="1"/>
  <c r="AC2500"/>
  <c r="AD2500" s="1"/>
  <c r="AC2496"/>
  <c r="AD2496" s="1"/>
  <c r="AC2495"/>
  <c r="AD2495" s="1"/>
  <c r="AC2494"/>
  <c r="AD2494" s="1"/>
  <c r="AC2493"/>
  <c r="AD2493" s="1"/>
  <c r="AC2492"/>
  <c r="AC2490"/>
  <c r="AD2490" s="1"/>
  <c r="AC2489"/>
  <c r="AD2489" s="1"/>
  <c r="AC2488"/>
  <c r="AD2488" s="1"/>
  <c r="AC2487"/>
  <c r="AD2487" s="1"/>
  <c r="AC2486"/>
  <c r="AD2486" s="1"/>
  <c r="AC2485"/>
  <c r="AD2485" s="1"/>
  <c r="AC2482"/>
  <c r="AD2482" s="1"/>
  <c r="AC2481"/>
  <c r="AD2481" s="1"/>
  <c r="AC2480"/>
  <c r="AD2480" s="1"/>
  <c r="AC2479"/>
  <c r="AD2479" s="1"/>
  <c r="AC2478"/>
  <c r="AD2478" s="1"/>
  <c r="AC2477"/>
  <c r="AD2477" s="1"/>
  <c r="AC2476"/>
  <c r="AD2476" s="1"/>
  <c r="AC2471"/>
  <c r="AD2471" s="1"/>
  <c r="AC2470"/>
  <c r="AD2470" s="1"/>
  <c r="AC2469"/>
  <c r="AD2469" s="1"/>
  <c r="AC2468"/>
  <c r="AD2468" s="1"/>
  <c r="AC2467"/>
  <c r="AD2467" s="1"/>
  <c r="AC2465"/>
  <c r="AC2464"/>
  <c r="AD2464" s="1"/>
  <c r="AC2463"/>
  <c r="AD2463" s="1"/>
  <c r="AC2462"/>
  <c r="AD2462" s="1"/>
  <c r="AC2461"/>
  <c r="AC2460"/>
  <c r="AD2460" s="1"/>
  <c r="AC2459"/>
  <c r="AD2459" s="1"/>
  <c r="AC2458"/>
  <c r="AD2458" s="1"/>
  <c r="AC2457"/>
  <c r="AC2456"/>
  <c r="AD2456" s="1"/>
  <c r="B2456"/>
  <c r="B2457" s="1"/>
  <c r="B2458" s="1"/>
  <c r="B2459" s="1"/>
  <c r="B2460" s="1"/>
  <c r="B2461" s="1"/>
  <c r="B2462" s="1"/>
  <c r="B2463" s="1"/>
  <c r="B2464" s="1"/>
  <c r="B2465" s="1"/>
  <c r="B2466" s="1"/>
  <c r="B2467" s="1"/>
  <c r="B2468" s="1"/>
  <c r="B2469" s="1"/>
  <c r="B2470" s="1"/>
  <c r="B2471" s="1"/>
  <c r="AC2455"/>
  <c r="AD2455" s="1"/>
  <c r="J2449"/>
  <c r="AC2444"/>
  <c r="AC2440"/>
  <c r="AD2440" s="1"/>
  <c r="AC2436"/>
  <c r="AC2421"/>
  <c r="AD2421" s="1"/>
  <c r="AC2412"/>
  <c r="AD2412" s="1"/>
  <c r="AC2405"/>
  <c r="AD2405" s="1"/>
  <c r="B2404"/>
  <c r="B2405" s="1"/>
  <c r="B2406" s="1"/>
  <c r="B2407" s="1"/>
  <c r="B2408" s="1"/>
  <c r="B2409" s="1"/>
  <c r="B2412" s="1"/>
  <c r="B2413" s="1"/>
  <c r="B2414" s="1"/>
  <c r="B2415" s="1"/>
  <c r="B2418" s="1"/>
  <c r="B2419" s="1"/>
  <c r="B2420" s="1"/>
  <c r="B2421" s="1"/>
  <c r="B2422" s="1"/>
  <c r="B2423" s="1"/>
  <c r="B2424" s="1"/>
  <c r="B2426" s="1"/>
  <c r="B2434" s="1"/>
  <c r="B2435" s="1"/>
  <c r="B2437" s="1"/>
  <c r="B2438" s="1"/>
  <c r="B2439" s="1"/>
  <c r="B2440" s="1"/>
  <c r="B2441" s="1"/>
  <c r="B2442" s="1"/>
  <c r="B2444" s="1"/>
  <c r="B2445" s="1"/>
  <c r="B2446" s="1"/>
  <c r="B2447" s="1"/>
  <c r="B2448" s="1"/>
  <c r="AC2399"/>
  <c r="AD2399" s="1"/>
  <c r="AC2398"/>
  <c r="AD2398" s="1"/>
  <c r="AC2394"/>
  <c r="AD2394" s="1"/>
  <c r="AC2371"/>
  <c r="AD2371" s="1"/>
  <c r="AC2370"/>
  <c r="AC2368"/>
  <c r="AC2367"/>
  <c r="AD2367" s="1"/>
  <c r="AC2364"/>
  <c r="AD2364" s="1"/>
  <c r="AC2359"/>
  <c r="AD2359" s="1"/>
  <c r="AC2331"/>
  <c r="AC2329"/>
  <c r="AD2329" s="1"/>
  <c r="AC2328"/>
  <c r="AC2321"/>
  <c r="AD2321" s="1"/>
  <c r="AC2320"/>
  <c r="AD2320" s="1"/>
  <c r="AC2319"/>
  <c r="AD2319" s="1"/>
  <c r="AC2318"/>
  <c r="AC2317"/>
  <c r="AD2317" s="1"/>
  <c r="AC2316"/>
  <c r="AD2316" s="1"/>
  <c r="AC2313"/>
  <c r="AD2313" s="1"/>
  <c r="AC2312"/>
  <c r="AC2311"/>
  <c r="AD2311" s="1"/>
  <c r="AC2310"/>
  <c r="AD2310" s="1"/>
  <c r="AC2309"/>
  <c r="AD2309" s="1"/>
  <c r="AC2306"/>
  <c r="AD2306" s="1"/>
  <c r="AC2305"/>
  <c r="AD2305" s="1"/>
  <c r="AC2304"/>
  <c r="AD2304" s="1"/>
  <c r="AC2303"/>
  <c r="AD2303" s="1"/>
  <c r="AC2302"/>
  <c r="AD2302" s="1"/>
  <c r="AC2301"/>
  <c r="AD2301" s="1"/>
  <c r="AC2299"/>
  <c r="AD2299" s="1"/>
  <c r="B2299"/>
  <c r="B2301" s="1"/>
  <c r="B2302" s="1"/>
  <c r="B2303" s="1"/>
  <c r="B2304" s="1"/>
  <c r="B2305" s="1"/>
  <c r="B2306" s="1"/>
  <c r="B2307" s="1"/>
  <c r="B2309" s="1"/>
  <c r="B2310" s="1"/>
  <c r="B2311" s="1"/>
  <c r="B2312" s="1"/>
  <c r="B2313" s="1"/>
  <c r="AC2298"/>
  <c r="AC2288"/>
  <c r="AD2288" s="1"/>
  <c r="B2259"/>
  <c r="B2260" s="1"/>
  <c r="B2261" s="1"/>
  <c r="B2262" s="1"/>
  <c r="B2263" s="1"/>
  <c r="B2264" s="1"/>
  <c r="B2266" s="1"/>
  <c r="B2267" s="1"/>
  <c r="B2268" s="1"/>
  <c r="B2269" s="1"/>
  <c r="B2270" s="1"/>
  <c r="B2271" s="1"/>
  <c r="B2272" s="1"/>
  <c r="B2273" s="1"/>
  <c r="J2250"/>
  <c r="AC2248"/>
  <c r="AD2248" s="1"/>
  <c r="AC2247"/>
  <c r="AD2247" s="1"/>
  <c r="AC2246"/>
  <c r="AD2246" s="1"/>
  <c r="AC2245"/>
  <c r="AD2245" s="1"/>
  <c r="AC2244"/>
  <c r="AD2244" s="1"/>
  <c r="AC2243"/>
  <c r="AD2243" s="1"/>
  <c r="AC2242"/>
  <c r="AD2242" s="1"/>
  <c r="AC2241"/>
  <c r="AD2241" s="1"/>
  <c r="AC2240"/>
  <c r="AD2240" s="1"/>
  <c r="AC2236"/>
  <c r="AD2236" s="1"/>
  <c r="AC2235"/>
  <c r="AD2235" s="1"/>
  <c r="AC2234"/>
  <c r="AD2234" s="1"/>
  <c r="AC2233"/>
  <c r="AD2233" s="1"/>
  <c r="AC2232"/>
  <c r="AD2232" s="1"/>
  <c r="AC2230"/>
  <c r="AD2230" s="1"/>
  <c r="AC2229"/>
  <c r="AD2229" s="1"/>
  <c r="AC2228"/>
  <c r="B2228"/>
  <c r="B2229" s="1"/>
  <c r="B2230" s="1"/>
  <c r="B2232" s="1"/>
  <c r="B2233" s="1"/>
  <c r="B2234" s="1"/>
  <c r="B2235" s="1"/>
  <c r="B2236" s="1"/>
  <c r="B2237" s="1"/>
  <c r="B2239" s="1"/>
  <c r="B2240" s="1"/>
  <c r="B2241" s="1"/>
  <c r="B2242" s="1"/>
  <c r="B2243" s="1"/>
  <c r="B2244" s="1"/>
  <c r="B2245" s="1"/>
  <c r="B2246" s="1"/>
  <c r="B2247" s="1"/>
  <c r="B2248" s="1"/>
  <c r="B2249" s="1"/>
  <c r="AC2227"/>
  <c r="AD2227" s="1"/>
  <c r="J2224"/>
  <c r="AC2222"/>
  <c r="AD2222" s="1"/>
  <c r="AC2221"/>
  <c r="AD2221" s="1"/>
  <c r="AC2220"/>
  <c r="AD2220" s="1"/>
  <c r="AC2219"/>
  <c r="AD2219" s="1"/>
  <c r="AC2218"/>
  <c r="AD2218" s="1"/>
  <c r="AC2217"/>
  <c r="AD2217" s="1"/>
  <c r="AC2216"/>
  <c r="AD2216" s="1"/>
  <c r="Y2212"/>
  <c r="Y2211"/>
  <c r="Y2210"/>
  <c r="Y2209"/>
  <c r="AC2208"/>
  <c r="AD2208" s="1"/>
  <c r="AC2207"/>
  <c r="AD2207" s="1"/>
  <c r="AC2206"/>
  <c r="AD2206" s="1"/>
  <c r="AC2205"/>
  <c r="AD2205" s="1"/>
  <c r="AC2204"/>
  <c r="AD2204" s="1"/>
  <c r="AC2203"/>
  <c r="AD2203" s="1"/>
  <c r="AC2202"/>
  <c r="AD2202" s="1"/>
  <c r="AC2201"/>
  <c r="AD2201" s="1"/>
  <c r="AC2200"/>
  <c r="AD2200" s="1"/>
  <c r="Z2198"/>
  <c r="Y2198"/>
  <c r="AC2197"/>
  <c r="AC2196"/>
  <c r="AC2195"/>
  <c r="AC2194"/>
  <c r="B2194"/>
  <c r="B2195" s="1"/>
  <c r="B2196" s="1"/>
  <c r="B2197" s="1"/>
  <c r="B2198" s="1"/>
  <c r="B2200" s="1"/>
  <c r="B2201" s="1"/>
  <c r="B2202" s="1"/>
  <c r="B2203" s="1"/>
  <c r="B2204" s="1"/>
  <c r="B2205" s="1"/>
  <c r="B2206" s="1"/>
  <c r="B2207" s="1"/>
  <c r="B2208" s="1"/>
  <c r="B2209" s="1"/>
  <c r="B2210" s="1"/>
  <c r="B2211" s="1"/>
  <c r="B2212" s="1"/>
  <c r="AC2193"/>
  <c r="AD2193" s="1"/>
  <c r="J2190"/>
  <c r="AC2179"/>
  <c r="B2158"/>
  <c r="B2159" s="1"/>
  <c r="B2160" s="1"/>
  <c r="B2161" s="1"/>
  <c r="B2162" s="1"/>
  <c r="B2163" s="1"/>
  <c r="B2164" s="1"/>
  <c r="B2166" s="1"/>
  <c r="B2168" s="1"/>
  <c r="B2169" s="1"/>
  <c r="B2170" s="1"/>
  <c r="B2171" s="1"/>
  <c r="B2172" s="1"/>
  <c r="B2173" s="1"/>
  <c r="B2174" s="1"/>
  <c r="B2175" s="1"/>
  <c r="B2176" s="1"/>
  <c r="J2154"/>
  <c r="AC2152"/>
  <c r="AD2152" s="1"/>
  <c r="B2152"/>
  <c r="B2153" s="1"/>
  <c r="AC2151"/>
  <c r="AD2151" s="1"/>
  <c r="AC2150"/>
  <c r="AD2150" s="1"/>
  <c r="J2148"/>
  <c r="Z2146"/>
  <c r="AC2145"/>
  <c r="Y2145"/>
  <c r="B2145"/>
  <c r="B2146" s="1"/>
  <c r="B2147" s="1"/>
  <c r="Z2144"/>
  <c r="AC2143"/>
  <c r="J2141"/>
  <c r="AC2139"/>
  <c r="B2139"/>
  <c r="B2140" s="1"/>
  <c r="AC2138"/>
  <c r="AC2137"/>
  <c r="AC2136"/>
  <c r="J2134"/>
  <c r="AC2132"/>
  <c r="AD2132" s="1"/>
  <c r="AC2131"/>
  <c r="AD2131" s="1"/>
  <c r="AC2130"/>
  <c r="AD2130" s="1"/>
  <c r="AC2129"/>
  <c r="J2127"/>
  <c r="J2121"/>
  <c r="AC2119"/>
  <c r="AD2119" s="1"/>
  <c r="Z2119" s="1"/>
  <c r="Z2121" s="1"/>
  <c r="B2120"/>
  <c r="AC2118"/>
  <c r="AD2118" s="1"/>
  <c r="AC2116"/>
  <c r="J2114"/>
  <c r="B2112"/>
  <c r="B2113" s="1"/>
  <c r="AC2109"/>
  <c r="J2107"/>
  <c r="AC2105"/>
  <c r="Y2105"/>
  <c r="AC2104"/>
  <c r="Y2104"/>
  <c r="AC2103"/>
  <c r="AD2103" s="1"/>
  <c r="J2101"/>
  <c r="AC2099"/>
  <c r="AD2099" s="1"/>
  <c r="AC2098"/>
  <c r="AD2098" s="1"/>
  <c r="AC2097"/>
  <c r="AC2096"/>
  <c r="J2094"/>
  <c r="AC2092"/>
  <c r="AD2092" s="1"/>
  <c r="AC2091"/>
  <c r="AD2091" s="1"/>
  <c r="AC2090"/>
  <c r="AA2088"/>
  <c r="J2088"/>
  <c r="Y2086"/>
  <c r="AC2085"/>
  <c r="Y2085"/>
  <c r="AC2084"/>
  <c r="Y2084"/>
  <c r="AC2083"/>
  <c r="AD2083" s="1"/>
  <c r="Y2083"/>
  <c r="J2080"/>
  <c r="AC2075"/>
  <c r="Y2075"/>
  <c r="Y2080" s="1"/>
  <c r="J2073"/>
  <c r="B2071"/>
  <c r="B2072" s="1"/>
  <c r="J2066"/>
  <c r="AC2064"/>
  <c r="Y2064"/>
  <c r="AC2063"/>
  <c r="Y2063"/>
  <c r="AC2062"/>
  <c r="Y2062"/>
  <c r="AC2061"/>
  <c r="Y2061"/>
  <c r="Y2066" s="1"/>
  <c r="B2061"/>
  <c r="B2062" s="1"/>
  <c r="B2063" s="1"/>
  <c r="B2064" s="1"/>
  <c r="B2065" s="1"/>
  <c r="Y2059"/>
  <c r="J2059"/>
  <c r="AC2057"/>
  <c r="AD2057" s="1"/>
  <c r="Z2057" s="1"/>
  <c r="AC2056"/>
  <c r="AD2056" s="1"/>
  <c r="Z2056" s="1"/>
  <c r="AC2055"/>
  <c r="AD2055" s="1"/>
  <c r="Z2055" s="1"/>
  <c r="AC2054"/>
  <c r="AB2059"/>
  <c r="B2054"/>
  <c r="B2055" s="1"/>
  <c r="B2056" s="1"/>
  <c r="B2057" s="1"/>
  <c r="B2058" s="1"/>
  <c r="J2052"/>
  <c r="AC2051"/>
  <c r="AD2051" s="1"/>
  <c r="AC2048"/>
  <c r="AC2047"/>
  <c r="AD2047" s="1"/>
  <c r="AC2046"/>
  <c r="AD2046" s="1"/>
  <c r="AC2045"/>
  <c r="J2041"/>
  <c r="AC2040"/>
  <c r="AD2040" s="1"/>
  <c r="AC2039"/>
  <c r="AC2037"/>
  <c r="AD2037" s="1"/>
  <c r="AC2036"/>
  <c r="AD2036" s="1"/>
  <c r="AC2035"/>
  <c r="AC2034"/>
  <c r="J2027"/>
  <c r="AC2026"/>
  <c r="AD2026" s="1"/>
  <c r="Z2026" s="1"/>
  <c r="AC2023"/>
  <c r="AD2023" s="1"/>
  <c r="Z2023" s="1"/>
  <c r="AC2022"/>
  <c r="AD2022" s="1"/>
  <c r="Z2022" s="1"/>
  <c r="AC2021"/>
  <c r="AD2021" s="1"/>
  <c r="Z2021" s="1"/>
  <c r="AC2020"/>
  <c r="AC2027" s="1"/>
  <c r="J2016"/>
  <c r="AC2015"/>
  <c r="AD2015" s="1"/>
  <c r="Z2015" s="1"/>
  <c r="AC2013"/>
  <c r="AD2013" s="1"/>
  <c r="Z2013" s="1"/>
  <c r="AC2012"/>
  <c r="AC2011"/>
  <c r="AD2011" s="1"/>
  <c r="Z2011" s="1"/>
  <c r="AC2010"/>
  <c r="AD2010" s="1"/>
  <c r="Z2010" s="1"/>
  <c r="AC2009"/>
  <c r="J2004"/>
  <c r="AC2003"/>
  <c r="AD2003" s="1"/>
  <c r="AC2002"/>
  <c r="AC1999"/>
  <c r="AC1998"/>
  <c r="AD1998" s="1"/>
  <c r="AC1997"/>
  <c r="J1993"/>
  <c r="AC1992"/>
  <c r="AD1992" s="1"/>
  <c r="Z1992" s="1"/>
  <c r="AC1989"/>
  <c r="AD1989" s="1"/>
  <c r="Z1989" s="1"/>
  <c r="AC1988"/>
  <c r="AD1988" s="1"/>
  <c r="Z1988" s="1"/>
  <c r="AC1987"/>
  <c r="AD1987" s="1"/>
  <c r="Z1987" s="1"/>
  <c r="AC1986"/>
  <c r="AD1986" s="1"/>
  <c r="Z1986" s="1"/>
  <c r="B1986"/>
  <c r="B1987" s="1"/>
  <c r="B1988" s="1"/>
  <c r="B1989" s="1"/>
  <c r="B1990" s="1"/>
  <c r="J1981"/>
  <c r="AD1980"/>
  <c r="AD1977"/>
  <c r="AD1976"/>
  <c r="AD1975"/>
  <c r="AC1974"/>
  <c r="AC1981" s="1"/>
  <c r="J1970"/>
  <c r="J1959"/>
  <c r="AC1958"/>
  <c r="AD1958" s="1"/>
  <c r="AC1957"/>
  <c r="AC1955"/>
  <c r="AD1955" s="1"/>
  <c r="AC1954"/>
  <c r="AC1953"/>
  <c r="AD1953" s="1"/>
  <c r="AC1952"/>
  <c r="AD1952" s="1"/>
  <c r="B1953"/>
  <c r="B1954" s="1"/>
  <c r="B1955" s="1"/>
  <c r="B1956" s="1"/>
  <c r="J1946"/>
  <c r="AC1945"/>
  <c r="AD1945" s="1"/>
  <c r="Z1945" s="1"/>
  <c r="AC1944"/>
  <c r="AC1942"/>
  <c r="AD1942" s="1"/>
  <c r="Z1942" s="1"/>
  <c r="AC1941"/>
  <c r="AD1941" s="1"/>
  <c r="Z1941" s="1"/>
  <c r="AC1940"/>
  <c r="AC1939"/>
  <c r="J1934"/>
  <c r="AC1932"/>
  <c r="AC1931"/>
  <c r="AD1931" s="1"/>
  <c r="AC1929"/>
  <c r="J1923"/>
  <c r="AC1922"/>
  <c r="AD1922" s="1"/>
  <c r="AC1919"/>
  <c r="AD1919" s="1"/>
  <c r="AC1918"/>
  <c r="AD1918" s="1"/>
  <c r="B1918"/>
  <c r="B1919" s="1"/>
  <c r="B1920" s="1"/>
  <c r="AC1917"/>
  <c r="AD1917" s="1"/>
  <c r="AC1916"/>
  <c r="Y1916"/>
  <c r="J1912"/>
  <c r="AC1911"/>
  <c r="AD1911" s="1"/>
  <c r="AC1909"/>
  <c r="AD1909" s="1"/>
  <c r="AC1908"/>
  <c r="AD1908" s="1"/>
  <c r="AC1907"/>
  <c r="AC1906"/>
  <c r="AD1906" s="1"/>
  <c r="AC1905"/>
  <c r="J1901"/>
  <c r="AC1899"/>
  <c r="AC1896"/>
  <c r="AD1896" s="1"/>
  <c r="AC1895"/>
  <c r="AD1895" s="1"/>
  <c r="AC1894"/>
  <c r="AC1893"/>
  <c r="AA1890"/>
  <c r="J1890"/>
  <c r="AC1889"/>
  <c r="AD1889" s="1"/>
  <c r="AC1887"/>
  <c r="AC1886"/>
  <c r="AD1886" s="1"/>
  <c r="AC1885"/>
  <c r="AD1885" s="1"/>
  <c r="AC1884"/>
  <c r="AD1884" s="1"/>
  <c r="AC1883"/>
  <c r="AD1883" s="1"/>
  <c r="AA1880"/>
  <c r="J1880"/>
  <c r="AD1879"/>
  <c r="Z1879" s="1"/>
  <c r="AC1878"/>
  <c r="AC1876"/>
  <c r="AD1876" s="1"/>
  <c r="Z1876" s="1"/>
  <c r="AC1875"/>
  <c r="AD1875" s="1"/>
  <c r="Z1875" s="1"/>
  <c r="AC1874"/>
  <c r="AD1874" s="1"/>
  <c r="Z1874" s="1"/>
  <c r="AC1873"/>
  <c r="AA1869"/>
  <c r="J1869"/>
  <c r="AC1868"/>
  <c r="Y1866"/>
  <c r="AC1865"/>
  <c r="AD1865" s="1"/>
  <c r="AC1864"/>
  <c r="AD1864" s="1"/>
  <c r="AC1863"/>
  <c r="AD1863" s="1"/>
  <c r="AC1862"/>
  <c r="J1859"/>
  <c r="AC1858"/>
  <c r="AD1858" s="1"/>
  <c r="AC1857"/>
  <c r="AC1856"/>
  <c r="AD1856" s="1"/>
  <c r="AC1855"/>
  <c r="AD1855" s="1"/>
  <c r="AC1854"/>
  <c r="AD1854" s="1"/>
  <c r="AC1853"/>
  <c r="AD1853" s="1"/>
  <c r="AC1852"/>
  <c r="B1853"/>
  <c r="B1854" s="1"/>
  <c r="B1855" s="1"/>
  <c r="B1856" s="1"/>
  <c r="AC1845"/>
  <c r="Y1845"/>
  <c r="J1845"/>
  <c r="B1835"/>
  <c r="B1836" s="1"/>
  <c r="B1837" s="1"/>
  <c r="B1839" s="1"/>
  <c r="B1840" s="1"/>
  <c r="B1841" s="1"/>
  <c r="B1842" s="1"/>
  <c r="B1843" s="1"/>
  <c r="B1844" s="1"/>
  <c r="B1833"/>
  <c r="J1830"/>
  <c r="AC1828"/>
  <c r="AD1828" s="1"/>
  <c r="AC1827"/>
  <c r="AD1827" s="1"/>
  <c r="AC1826"/>
  <c r="AD1826" s="1"/>
  <c r="AC1825"/>
  <c r="AC1817"/>
  <c r="AD1817" s="1"/>
  <c r="AC1816"/>
  <c r="AD1816" s="1"/>
  <c r="AC1815"/>
  <c r="AD1815" s="1"/>
  <c r="AC1814"/>
  <c r="AD1814" s="1"/>
  <c r="AC1813"/>
  <c r="AC1812"/>
  <c r="AD1812" s="1"/>
  <c r="AC1811"/>
  <c r="AD1811" s="1"/>
  <c r="AC1808"/>
  <c r="AD1808" s="1"/>
  <c r="B1808"/>
  <c r="B1809" s="1"/>
  <c r="B1810" s="1"/>
  <c r="B1811" s="1"/>
  <c r="B1812" s="1"/>
  <c r="B1814" s="1"/>
  <c r="B1815" s="1"/>
  <c r="B1816" s="1"/>
  <c r="B1817" s="1"/>
  <c r="B1818" s="1"/>
  <c r="B1819" s="1"/>
  <c r="B1820" s="1"/>
  <c r="B1821" s="1"/>
  <c r="B1822" s="1"/>
  <c r="B1823" s="1"/>
  <c r="B1824" s="1"/>
  <c r="B1826" s="1"/>
  <c r="B1827" s="1"/>
  <c r="B1828" s="1"/>
  <c r="B1829" s="1"/>
  <c r="AA1804"/>
  <c r="J1804"/>
  <c r="AC1803"/>
  <c r="AD1803" s="1"/>
  <c r="AC1802"/>
  <c r="AD1802" s="1"/>
  <c r="AC1801"/>
  <c r="AD1801" s="1"/>
  <c r="AC1800"/>
  <c r="AD1800" s="1"/>
  <c r="AC1799"/>
  <c r="AD1799" s="1"/>
  <c r="AC1798"/>
  <c r="AD1798" s="1"/>
  <c r="AC1796"/>
  <c r="AD1796" s="1"/>
  <c r="AC1795"/>
  <c r="AD1795" s="1"/>
  <c r="AC1794"/>
  <c r="AD1794" s="1"/>
  <c r="AC1793"/>
  <c r="AD1793" s="1"/>
  <c r="AC1792"/>
  <c r="AD1792" s="1"/>
  <c r="AC1791"/>
  <c r="AD1791" s="1"/>
  <c r="B1791"/>
  <c r="B1792" s="1"/>
  <c r="B1793" s="1"/>
  <c r="B1794" s="1"/>
  <c r="B1795" s="1"/>
  <c r="B1796" s="1"/>
  <c r="B1798" s="1"/>
  <c r="B1799" s="1"/>
  <c r="B1800" s="1"/>
  <c r="B1801" s="1"/>
  <c r="B1802" s="1"/>
  <c r="B1803" s="1"/>
  <c r="AC1790"/>
  <c r="AD1790" s="1"/>
  <c r="J1787"/>
  <c r="AC1785"/>
  <c r="AD1785" s="1"/>
  <c r="AC1784"/>
  <c r="AD1784" s="1"/>
  <c r="Y1784"/>
  <c r="AC1783"/>
  <c r="AD1783" s="1"/>
  <c r="Y1783"/>
  <c r="AC1782"/>
  <c r="AD1782" s="1"/>
  <c r="Y1782"/>
  <c r="AC1781"/>
  <c r="AD1781" s="1"/>
  <c r="AC1780"/>
  <c r="AD1780" s="1"/>
  <c r="Y1780"/>
  <c r="AC1779"/>
  <c r="AD1779" s="1"/>
  <c r="Y1779"/>
  <c r="AC1778"/>
  <c r="AD1778" s="1"/>
  <c r="Y1778"/>
  <c r="AC1777"/>
  <c r="AD1777" s="1"/>
  <c r="Y1777"/>
  <c r="AC1776"/>
  <c r="AD1776" s="1"/>
  <c r="AC1775"/>
  <c r="AD1775" s="1"/>
  <c r="Y1775"/>
  <c r="AC1774"/>
  <c r="AD1774" s="1"/>
  <c r="Y1774"/>
  <c r="AC1770"/>
  <c r="AD1770" s="1"/>
  <c r="AC1769"/>
  <c r="AC1768"/>
  <c r="AD1768" s="1"/>
  <c r="AC1767"/>
  <c r="AD1767" s="1"/>
  <c r="AC1766"/>
  <c r="AD1766" s="1"/>
  <c r="AC1765"/>
  <c r="AD1765" s="1"/>
  <c r="AC1764"/>
  <c r="AD1764" s="1"/>
  <c r="AC1763"/>
  <c r="AD1763" s="1"/>
  <c r="AC1760"/>
  <c r="AC1759"/>
  <c r="AC1758"/>
  <c r="AC1757"/>
  <c r="AC1756"/>
  <c r="AC1749"/>
  <c r="AD1749" s="1"/>
  <c r="AC1747"/>
  <c r="AD1747" s="1"/>
  <c r="AC1745"/>
  <c r="AD1745" s="1"/>
  <c r="AC1744"/>
  <c r="AD1744" s="1"/>
  <c r="AC1743"/>
  <c r="AD1743" s="1"/>
  <c r="AC1742"/>
  <c r="AD1742" s="1"/>
  <c r="AC1741"/>
  <c r="AC1740"/>
  <c r="AD1740" s="1"/>
  <c r="AC1739"/>
  <c r="AC1738"/>
  <c r="AD1738" s="1"/>
  <c r="AC1737"/>
  <c r="AD1737" s="1"/>
  <c r="AC1735"/>
  <c r="AD1735" s="1"/>
  <c r="AC1734"/>
  <c r="AD1734" s="1"/>
  <c r="AC1733"/>
  <c r="AD1733" s="1"/>
  <c r="AC1731"/>
  <c r="AC1730"/>
  <c r="AC1729"/>
  <c r="AC1724"/>
  <c r="AD1724" s="1"/>
  <c r="AC1723"/>
  <c r="AC1722"/>
  <c r="AC1721"/>
  <c r="AD1721" s="1"/>
  <c r="AC1720"/>
  <c r="AC1719"/>
  <c r="AD1719" s="1"/>
  <c r="AC1718"/>
  <c r="AD1718" s="1"/>
  <c r="AC1717"/>
  <c r="AD1717" s="1"/>
  <c r="AC1716"/>
  <c r="AD1716" s="1"/>
  <c r="AC1715"/>
  <c r="AD1715" s="1"/>
  <c r="AC1714"/>
  <c r="AC1713"/>
  <c r="AD1713" s="1"/>
  <c r="AC1712"/>
  <c r="AD1712" s="1"/>
  <c r="AC1711"/>
  <c r="AD1711" s="1"/>
  <c r="AC1710"/>
  <c r="AD1710" s="1"/>
  <c r="AC1709"/>
  <c r="AD1709" s="1"/>
  <c r="AC1708"/>
  <c r="AD1708" s="1"/>
  <c r="AC1707"/>
  <c r="AD1707" s="1"/>
  <c r="AC1706"/>
  <c r="AD1706" s="1"/>
  <c r="AC1703"/>
  <c r="AC1702"/>
  <c r="AC1701"/>
  <c r="AD1699"/>
  <c r="AC1698"/>
  <c r="Y1698"/>
  <c r="AC1697"/>
  <c r="AC1696"/>
  <c r="AC1695"/>
  <c r="AC1694"/>
  <c r="AC1692"/>
  <c r="AD1692" s="1"/>
  <c r="AC1689"/>
  <c r="AD1689" s="1"/>
  <c r="AC1688"/>
  <c r="AD1688" s="1"/>
  <c r="AC1687"/>
  <c r="AD1687" s="1"/>
  <c r="AC1686"/>
  <c r="AD1686" s="1"/>
  <c r="AD1685"/>
  <c r="AC1683"/>
  <c r="AD1683" s="1"/>
  <c r="AC1681"/>
  <c r="AD1681" s="1"/>
  <c r="AC1679"/>
  <c r="AD1679" s="1"/>
  <c r="AC1678"/>
  <c r="B1676"/>
  <c r="B1678" s="1"/>
  <c r="B1679" s="1"/>
  <c r="B1680" s="1"/>
  <c r="B1681" s="1"/>
  <c r="B1683" s="1"/>
  <c r="B1685" s="1"/>
  <c r="B1686" s="1"/>
  <c r="B1687" s="1"/>
  <c r="B1688" s="1"/>
  <c r="B1689" s="1"/>
  <c r="J1673"/>
  <c r="AC1671"/>
  <c r="AD1671" s="1"/>
  <c r="AC1670"/>
  <c r="AC1669"/>
  <c r="AD1669" s="1"/>
  <c r="AC1668"/>
  <c r="AC1663"/>
  <c r="AD1663" s="1"/>
  <c r="AC1662"/>
  <c r="AD1662" s="1"/>
  <c r="AC1661"/>
  <c r="AD1661" s="1"/>
  <c r="AC1660"/>
  <c r="AD1660" s="1"/>
  <c r="AC1659"/>
  <c r="AD1659" s="1"/>
  <c r="AC1658"/>
  <c r="AD1658" s="1"/>
  <c r="B1658"/>
  <c r="B1659" s="1"/>
  <c r="B1660" s="1"/>
  <c r="B1661" s="1"/>
  <c r="B1662" s="1"/>
  <c r="B1663" s="1"/>
  <c r="B1664" s="1"/>
  <c r="B1665" s="1"/>
  <c r="AC1657"/>
  <c r="AD1657" s="1"/>
  <c r="AC1654"/>
  <c r="AD1654" s="1"/>
  <c r="AC1653"/>
  <c r="AD1653" s="1"/>
  <c r="AC1652"/>
  <c r="AD1652" s="1"/>
  <c r="AC1651"/>
  <c r="AD1651" s="1"/>
  <c r="AC1650"/>
  <c r="B1650"/>
  <c r="B1651" s="1"/>
  <c r="B1652" s="1"/>
  <c r="B1653" s="1"/>
  <c r="B1654" s="1"/>
  <c r="B1655" s="1"/>
  <c r="AC1649"/>
  <c r="AA1646"/>
  <c r="J1646"/>
  <c r="AC1645"/>
  <c r="AD1645" s="1"/>
  <c r="AC1640"/>
  <c r="AD1640" s="1"/>
  <c r="AC1639"/>
  <c r="AD1639" s="1"/>
  <c r="AC1637"/>
  <c r="AD1637" s="1"/>
  <c r="AC1636"/>
  <c r="AC1635"/>
  <c r="AD1635" s="1"/>
  <c r="AC1634"/>
  <c r="AD1634" s="1"/>
  <c r="AC1633"/>
  <c r="AD1633" s="1"/>
  <c r="AC1632"/>
  <c r="AC1630"/>
  <c r="AD1630" s="1"/>
  <c r="AC1629"/>
  <c r="AD1629" s="1"/>
  <c r="AC1628"/>
  <c r="AD1628" s="1"/>
  <c r="AC1625"/>
  <c r="AD1625" s="1"/>
  <c r="AC1624"/>
  <c r="AD1624" s="1"/>
  <c r="AC1623"/>
  <c r="AC1622"/>
  <c r="AD1622" s="1"/>
  <c r="AC1621"/>
  <c r="AD1621" s="1"/>
  <c r="B1621"/>
  <c r="B1622" s="1"/>
  <c r="B1623" s="1"/>
  <c r="B1624" s="1"/>
  <c r="B1625" s="1"/>
  <c r="B1626" s="1"/>
  <c r="B1628" s="1"/>
  <c r="B1629" s="1"/>
  <c r="B1630" s="1"/>
  <c r="B1632" s="1"/>
  <c r="B1633" s="1"/>
  <c r="B1634" s="1"/>
  <c r="B1635" s="1"/>
  <c r="B1636" s="1"/>
  <c r="B1637" s="1"/>
  <c r="B1639" s="1"/>
  <c r="B1640" s="1"/>
  <c r="B1641" s="1"/>
  <c r="B1642" s="1"/>
  <c r="B1643" s="1"/>
  <c r="B1645" s="1"/>
  <c r="AA1618"/>
  <c r="Y1618"/>
  <c r="J1618"/>
  <c r="AC1617"/>
  <c r="AD1617" s="1"/>
  <c r="Z1617" s="1"/>
  <c r="AC1615"/>
  <c r="AD1615" s="1"/>
  <c r="AC1613"/>
  <c r="AD1613" s="1"/>
  <c r="AC1612"/>
  <c r="AD1612" s="1"/>
  <c r="AC1611"/>
  <c r="AD1611" s="1"/>
  <c r="AC1608"/>
  <c r="AD1608" s="1"/>
  <c r="AC1607"/>
  <c r="AD1607" s="1"/>
  <c r="AC1606"/>
  <c r="AD1606" s="1"/>
  <c r="AC1605"/>
  <c r="AD1605" s="1"/>
  <c r="AC1604"/>
  <c r="AD1604" s="1"/>
  <c r="AC1603"/>
  <c r="AD1603" s="1"/>
  <c r="B1603"/>
  <c r="B1604" s="1"/>
  <c r="B1605" s="1"/>
  <c r="B1606" s="1"/>
  <c r="B1607" s="1"/>
  <c r="B1608" s="1"/>
  <c r="B1609" s="1"/>
  <c r="B1611" s="1"/>
  <c r="B1612" s="1"/>
  <c r="B1613" s="1"/>
  <c r="B1615" s="1"/>
  <c r="B1617" s="1"/>
  <c r="AA1600"/>
  <c r="J1600"/>
  <c r="AC1597"/>
  <c r="AC1596"/>
  <c r="AC1593"/>
  <c r="AD1593" s="1"/>
  <c r="AC1592"/>
  <c r="AD1592" s="1"/>
  <c r="AC1590"/>
  <c r="AC1586"/>
  <c r="AD1586" s="1"/>
  <c r="AC1585"/>
  <c r="AD1585" s="1"/>
  <c r="AC1584"/>
  <c r="AD1584" s="1"/>
  <c r="AC1583"/>
  <c r="AC1582"/>
  <c r="AD1582" s="1"/>
  <c r="Z1582" s="1"/>
  <c r="AC1581"/>
  <c r="AD1581" s="1"/>
  <c r="AC1580"/>
  <c r="AD1580" s="1"/>
  <c r="AC1579"/>
  <c r="AD1579" s="1"/>
  <c r="AC1578"/>
  <c r="AD1578" s="1"/>
  <c r="AC1577"/>
  <c r="AC1576"/>
  <c r="AD1576" s="1"/>
  <c r="AC1575"/>
  <c r="AD1575" s="1"/>
  <c r="AC1573"/>
  <c r="AD1573" s="1"/>
  <c r="AC1571"/>
  <c r="AC1570"/>
  <c r="AD1570" s="1"/>
  <c r="AC1569"/>
  <c r="AD1569" s="1"/>
  <c r="AC1568"/>
  <c r="AD1568" s="1"/>
  <c r="AC1567"/>
  <c r="AC1566"/>
  <c r="AD1566" s="1"/>
  <c r="AC1565"/>
  <c r="AD1565" s="1"/>
  <c r="AC1564"/>
  <c r="AD1564" s="1"/>
  <c r="AC1563"/>
  <c r="AC1562"/>
  <c r="AD1562" s="1"/>
  <c r="AC1561"/>
  <c r="AC1560"/>
  <c r="AD1560" s="1"/>
  <c r="AC1559"/>
  <c r="AD1559" s="1"/>
  <c r="AC1558"/>
  <c r="AC1557"/>
  <c r="AD1557" s="1"/>
  <c r="AC1556"/>
  <c r="AD1556" s="1"/>
  <c r="Z1556" s="1"/>
  <c r="AC1555"/>
  <c r="AD1555" s="1"/>
  <c r="AC1554"/>
  <c r="AC1553"/>
  <c r="AD1553" s="1"/>
  <c r="AC1552"/>
  <c r="AD1552" s="1"/>
  <c r="AC1551"/>
  <c r="AD1551" s="1"/>
  <c r="AC1550"/>
  <c r="AD1550" s="1"/>
  <c r="AC1549"/>
  <c r="AD1549" s="1"/>
  <c r="AC1548"/>
  <c r="AD1548" s="1"/>
  <c r="B1548"/>
  <c r="B1549" s="1"/>
  <c r="B1550" s="1"/>
  <c r="B1551" s="1"/>
  <c r="B1552" s="1"/>
  <c r="B1553" s="1"/>
  <c r="B1555" s="1"/>
  <c r="B1556" s="1"/>
  <c r="B1557" s="1"/>
  <c r="B1558" s="1"/>
  <c r="B1559" s="1"/>
  <c r="B1560" s="1"/>
  <c r="B1562" s="1"/>
  <c r="B1563" s="1"/>
  <c r="B1564" s="1"/>
  <c r="B1565" s="1"/>
  <c r="B1566" s="1"/>
  <c r="B1567" s="1"/>
  <c r="B1568" s="1"/>
  <c r="B1569" s="1"/>
  <c r="B1570" s="1"/>
  <c r="B1571" s="1"/>
  <c r="B1573" s="1"/>
  <c r="B1575" s="1"/>
  <c r="B1576" s="1"/>
  <c r="B1577" s="1"/>
  <c r="B1578" s="1"/>
  <c r="B1579" s="1"/>
  <c r="B1580" s="1"/>
  <c r="B1581" s="1"/>
  <c r="B1582" s="1"/>
  <c r="B1583" s="1"/>
  <c r="B1584" s="1"/>
  <c r="B1585" s="1"/>
  <c r="B1586" s="1"/>
  <c r="AA1545"/>
  <c r="J1545"/>
  <c r="AC1544"/>
  <c r="AC1543"/>
  <c r="AC1541"/>
  <c r="AC1540"/>
  <c r="AC1539"/>
  <c r="AC1538"/>
  <c r="AC1537"/>
  <c r="AC1532"/>
  <c r="AC1531"/>
  <c r="AC1530"/>
  <c r="AC1529"/>
  <c r="AC1528"/>
  <c r="AC1525"/>
  <c r="AC1524"/>
  <c r="AC1523"/>
  <c r="AC1522"/>
  <c r="AC1521"/>
  <c r="AC1520"/>
  <c r="AC1518"/>
  <c r="AC1517"/>
  <c r="AC1512"/>
  <c r="AC1511"/>
  <c r="AC1510"/>
  <c r="AC1509"/>
  <c r="AC1508"/>
  <c r="AC1507"/>
  <c r="AC1506"/>
  <c r="AC1505"/>
  <c r="B1505"/>
  <c r="B1506" s="1"/>
  <c r="B1507" s="1"/>
  <c r="B1508" s="1"/>
  <c r="B1509" s="1"/>
  <c r="B1510" s="1"/>
  <c r="B1511" s="1"/>
  <c r="B1512" s="1"/>
  <c r="B1513" s="1"/>
  <c r="B1514" s="1"/>
  <c r="AC1504"/>
  <c r="J1501"/>
  <c r="AC1495"/>
  <c r="AD1495" s="1"/>
  <c r="Z1495" s="1"/>
  <c r="AC1494"/>
  <c r="AD1494" s="1"/>
  <c r="Z1494" s="1"/>
  <c r="AC1493"/>
  <c r="AD1493" s="1"/>
  <c r="Z1493" s="1"/>
  <c r="AC1492"/>
  <c r="AD1492" s="1"/>
  <c r="Z1492" s="1"/>
  <c r="AC1491"/>
  <c r="AD1491" s="1"/>
  <c r="Z1491" s="1"/>
  <c r="AC1490"/>
  <c r="AD1490" s="1"/>
  <c r="Z1490" s="1"/>
  <c r="AC1489"/>
  <c r="AD1489" s="1"/>
  <c r="Z1489" s="1"/>
  <c r="AC1488"/>
  <c r="AD1488" s="1"/>
  <c r="Z1488" s="1"/>
  <c r="AC1487"/>
  <c r="AD1487" s="1"/>
  <c r="AC1486"/>
  <c r="AD1486" s="1"/>
  <c r="AC1485"/>
  <c r="AD1485" s="1"/>
  <c r="AC1484"/>
  <c r="AD1484" s="1"/>
  <c r="AC1483"/>
  <c r="AD1483" s="1"/>
  <c r="Z1482"/>
  <c r="Y1482"/>
  <c r="AC1481"/>
  <c r="Z1478"/>
  <c r="Y1478"/>
  <c r="AC1477"/>
  <c r="AD1477" s="1"/>
  <c r="AC1476"/>
  <c r="AD1476" s="1"/>
  <c r="AC1475"/>
  <c r="AD1475" s="1"/>
  <c r="AC1474"/>
  <c r="AD1474" s="1"/>
  <c r="AC1473"/>
  <c r="B1473"/>
  <c r="B1474" s="1"/>
  <c r="B1475" s="1"/>
  <c r="B1476" s="1"/>
  <c r="B1477" s="1"/>
  <c r="B1478" s="1"/>
  <c r="B1482" s="1"/>
  <c r="B1483" s="1"/>
  <c r="B1484" s="1"/>
  <c r="B1485" s="1"/>
  <c r="B1486" s="1"/>
  <c r="B1487" s="1"/>
  <c r="B1488" s="1"/>
  <c r="B1489" s="1"/>
  <c r="B1490" s="1"/>
  <c r="B1491" s="1"/>
  <c r="B1492" s="1"/>
  <c r="B1493" s="1"/>
  <c r="B1494" s="1"/>
  <c r="B1495" s="1"/>
  <c r="B1496" s="1"/>
  <c r="B1497" s="1"/>
  <c r="B1498" s="1"/>
  <c r="B1499" s="1"/>
  <c r="B1500" s="1"/>
  <c r="Z1470"/>
  <c r="Y1470"/>
  <c r="J1470"/>
  <c r="AC1467"/>
  <c r="AD1467" s="1"/>
  <c r="AC1462"/>
  <c r="AD1462" s="1"/>
  <c r="AC1460"/>
  <c r="AC1459"/>
  <c r="AD1459" s="1"/>
  <c r="AC1458"/>
  <c r="AD1458" s="1"/>
  <c r="AC1456"/>
  <c r="AD1456" s="1"/>
  <c r="AC1452"/>
  <c r="AD1452" s="1"/>
  <c r="AC1451"/>
  <c r="AD1451" s="1"/>
  <c r="AC1450"/>
  <c r="AC1440"/>
  <c r="AD1440" s="1"/>
  <c r="B1440"/>
  <c r="B1442" s="1"/>
  <c r="B1443" s="1"/>
  <c r="B1444" s="1"/>
  <c r="B1445" s="1"/>
  <c r="B1446" s="1"/>
  <c r="B1447" s="1"/>
  <c r="B1448" s="1"/>
  <c r="B1450" s="1"/>
  <c r="B1451" s="1"/>
  <c r="B1452" s="1"/>
  <c r="B1453" s="1"/>
  <c r="B1454" s="1"/>
  <c r="B1456" s="1"/>
  <c r="B1457" s="1"/>
  <c r="B1458" s="1"/>
  <c r="B1459" s="1"/>
  <c r="B1460" s="1"/>
  <c r="B1462" s="1"/>
  <c r="B1463" s="1"/>
  <c r="B1464" s="1"/>
  <c r="B1466" s="1"/>
  <c r="B1467" s="1"/>
  <c r="B1468" s="1"/>
  <c r="B1469" s="1"/>
  <c r="AC1437"/>
  <c r="AA1437"/>
  <c r="Z1437"/>
  <c r="J1437"/>
  <c r="B1423"/>
  <c r="B1424" s="1"/>
  <c r="B1425" s="1"/>
  <c r="B1426" s="1"/>
  <c r="B1427" s="1"/>
  <c r="B1429" s="1"/>
  <c r="B1430" s="1"/>
  <c r="B1431" s="1"/>
  <c r="B1432" s="1"/>
  <c r="B1433" s="1"/>
  <c r="B1434" s="1"/>
  <c r="B1435" s="1"/>
  <c r="B1436" s="1"/>
  <c r="J1420"/>
  <c r="AC1419"/>
  <c r="AD1419" s="1"/>
  <c r="AC1418"/>
  <c r="AC1417"/>
  <c r="AC1415"/>
  <c r="AD1415" s="1"/>
  <c r="AC1414"/>
  <c r="AD1414" s="1"/>
  <c r="AC1413"/>
  <c r="AD1413" s="1"/>
  <c r="AC1412"/>
  <c r="AD1412" s="1"/>
  <c r="AC1411"/>
  <c r="AD1411" s="1"/>
  <c r="AC1410"/>
  <c r="AD1410" s="1"/>
  <c r="AC1409"/>
  <c r="AD1409" s="1"/>
  <c r="AC1408"/>
  <c r="AD1408" s="1"/>
  <c r="AC1407"/>
  <c r="AD1407" s="1"/>
  <c r="AC1406"/>
  <c r="AD1406" s="1"/>
  <c r="AC1405"/>
  <c r="AD1405" s="1"/>
  <c r="AC1404"/>
  <c r="AC1403"/>
  <c r="AC1401"/>
  <c r="AC1400"/>
  <c r="AC1399"/>
  <c r="AC1398"/>
  <c r="AC1397"/>
  <c r="AC1396"/>
  <c r="AC1395"/>
  <c r="B1395"/>
  <c r="B1396" s="1"/>
  <c r="B1397" s="1"/>
  <c r="B1398" s="1"/>
  <c r="B1399" s="1"/>
  <c r="B1400" s="1"/>
  <c r="B1402" s="1"/>
  <c r="B1403" s="1"/>
  <c r="B1405" s="1"/>
  <c r="B1406" s="1"/>
  <c r="B1407" s="1"/>
  <c r="B1408" s="1"/>
  <c r="B1409" s="1"/>
  <c r="B1410" s="1"/>
  <c r="B1411" s="1"/>
  <c r="B1412" s="1"/>
  <c r="B1413" s="1"/>
  <c r="B1414" s="1"/>
  <c r="B1415" s="1"/>
  <c r="AC1390"/>
  <c r="AC1388"/>
  <c r="AD1388" s="1"/>
  <c r="AC1387"/>
  <c r="AD1387" s="1"/>
  <c r="AC1385"/>
  <c r="AD1385" s="1"/>
  <c r="AC1384"/>
  <c r="AC1383"/>
  <c r="AD1383" s="1"/>
  <c r="AC1382"/>
  <c r="AD1382" s="1"/>
  <c r="AC1378"/>
  <c r="AD1378" s="1"/>
  <c r="AC1377"/>
  <c r="AC1373"/>
  <c r="AD1373" s="1"/>
  <c r="AC1372"/>
  <c r="AD1372" s="1"/>
  <c r="B1372"/>
  <c r="B1373" s="1"/>
  <c r="B1377" s="1"/>
  <c r="B1378" s="1"/>
  <c r="AC1371"/>
  <c r="AD1371" s="1"/>
  <c r="AC1370"/>
  <c r="AC1366"/>
  <c r="AD1366" s="1"/>
  <c r="AC1362"/>
  <c r="AD1362" s="1"/>
  <c r="AC1361"/>
  <c r="AD1361" s="1"/>
  <c r="AC1360"/>
  <c r="AD1360" s="1"/>
  <c r="AC1359"/>
  <c r="AD1359" s="1"/>
  <c r="Z1392" s="1"/>
  <c r="AC1357"/>
  <c r="AD1357" s="1"/>
  <c r="AC1356"/>
  <c r="AC1354"/>
  <c r="AD1354" s="1"/>
  <c r="AC1353"/>
  <c r="AD1353" s="1"/>
  <c r="AC1352"/>
  <c r="AC1351"/>
  <c r="B1351"/>
  <c r="B1352" s="1"/>
  <c r="B1353" s="1"/>
  <c r="B1354" s="1"/>
  <c r="B1355" s="1"/>
  <c r="B1356" s="1"/>
  <c r="B1357" s="1"/>
  <c r="B1359" s="1"/>
  <c r="B1360" s="1"/>
  <c r="B1361" s="1"/>
  <c r="B1362" s="1"/>
  <c r="J1348"/>
  <c r="AC1346"/>
  <c r="AD1346" s="1"/>
  <c r="AC1345"/>
  <c r="AD1345" s="1"/>
  <c r="AC1344"/>
  <c r="AD1344" s="1"/>
  <c r="AC1340"/>
  <c r="AD1340" s="1"/>
  <c r="AC1339"/>
  <c r="AC1336"/>
  <c r="AD1336" s="1"/>
  <c r="AC1329"/>
  <c r="AD1329" s="1"/>
  <c r="AC1328"/>
  <c r="AD1328" s="1"/>
  <c r="AC1327"/>
  <c r="AD1327" s="1"/>
  <c r="AC1326"/>
  <c r="AC1325"/>
  <c r="AD1325" s="1"/>
  <c r="AC1320"/>
  <c r="AD1320" s="1"/>
  <c r="AC1319"/>
  <c r="AC1318"/>
  <c r="AD1318" s="1"/>
  <c r="AC1317"/>
  <c r="AD1317" s="1"/>
  <c r="AC1316"/>
  <c r="AD1316" s="1"/>
  <c r="AC1315"/>
  <c r="AD1315" s="1"/>
  <c r="AC1314"/>
  <c r="AD1314" s="1"/>
  <c r="AC1313"/>
  <c r="AD1313" s="1"/>
  <c r="AC1310"/>
  <c r="AD1310" s="1"/>
  <c r="AC1309"/>
  <c r="AD1309" s="1"/>
  <c r="AC1308"/>
  <c r="AD1308" s="1"/>
  <c r="AC1307"/>
  <c r="AC1306"/>
  <c r="AD1306" s="1"/>
  <c r="AC1305"/>
  <c r="AD1305" s="1"/>
  <c r="AC1304"/>
  <c r="AD1304" s="1"/>
  <c r="AC1299"/>
  <c r="AC1298"/>
  <c r="AD1298" s="1"/>
  <c r="AC1297"/>
  <c r="AD1297" s="1"/>
  <c r="B1297"/>
  <c r="B1298" s="1"/>
  <c r="B1299" s="1"/>
  <c r="B1300" s="1"/>
  <c r="B1301" s="1"/>
  <c r="AC1207"/>
  <c r="AC1206"/>
  <c r="AC1205"/>
  <c r="AC1204"/>
  <c r="AC1202"/>
  <c r="AC1199"/>
  <c r="AC1196"/>
  <c r="AC1195"/>
  <c r="AC1193"/>
  <c r="AC1192"/>
  <c r="AC1191"/>
  <c r="AC1190"/>
  <c r="AC1189"/>
  <c r="AC1188"/>
  <c r="AC1187"/>
  <c r="AC1186"/>
  <c r="AC1181"/>
  <c r="AC1180"/>
  <c r="AC1160"/>
  <c r="AC1159"/>
  <c r="AC1158"/>
  <c r="AC1157"/>
  <c r="AC1155"/>
  <c r="AC1152"/>
  <c r="AC1151"/>
  <c r="AC1150"/>
  <c r="AC1149"/>
  <c r="AC1145"/>
  <c r="AC1144"/>
  <c r="AC1143"/>
  <c r="AC1142"/>
  <c r="AC1141"/>
  <c r="AC1140"/>
  <c r="AC1139"/>
  <c r="AC1138"/>
  <c r="AC1137"/>
  <c r="AC1136"/>
  <c r="AC1135"/>
  <c r="AC1134"/>
  <c r="AC1133"/>
  <c r="AC1132"/>
  <c r="AC1131"/>
  <c r="AC1130"/>
  <c r="AC1129"/>
  <c r="AC1128"/>
  <c r="AC1127"/>
  <c r="AC1126"/>
  <c r="AC1125"/>
  <c r="AC1124"/>
  <c r="AC1123"/>
  <c r="AC1122"/>
  <c r="AC1121"/>
  <c r="AC1120"/>
  <c r="AC1119"/>
  <c r="AC1118"/>
  <c r="AC1117"/>
  <c r="AC1116"/>
  <c r="AC1115"/>
  <c r="AC1114"/>
  <c r="AC1113"/>
  <c r="AC1112"/>
  <c r="AC1111"/>
  <c r="AC1110"/>
  <c r="AC1109"/>
  <c r="AC1108"/>
  <c r="AC1106"/>
  <c r="AC1105"/>
  <c r="AC1104"/>
  <c r="AC1103"/>
  <c r="AC1102"/>
  <c r="AC1101"/>
  <c r="AC1100"/>
  <c r="AC1099"/>
  <c r="AC1098"/>
  <c r="AC1097"/>
  <c r="AC1096"/>
  <c r="AC1094"/>
  <c r="AC1093"/>
  <c r="AC1088"/>
  <c r="AC1087"/>
  <c r="AC1086"/>
  <c r="AC1085"/>
  <c r="AC1082"/>
  <c r="AC1081"/>
  <c r="AC1080"/>
  <c r="AC1079"/>
  <c r="AC1078"/>
  <c r="AC1077"/>
  <c r="AC1076"/>
  <c r="AC1075"/>
  <c r="AC1074"/>
  <c r="AC1073"/>
  <c r="AC1071"/>
  <c r="AC1070"/>
  <c r="AC1069"/>
  <c r="AC1067"/>
  <c r="AC1066"/>
  <c r="AC1065"/>
  <c r="AC1064"/>
  <c r="AC1062"/>
  <c r="AC1061"/>
  <c r="AC1060"/>
  <c r="AC1059"/>
  <c r="AC1058"/>
  <c r="AC1057"/>
  <c r="AC1055"/>
  <c r="AC1054"/>
  <c r="AC1053"/>
  <c r="AC1052"/>
  <c r="AC1051"/>
  <c r="AC1050"/>
  <c r="AC1049"/>
  <c r="AC1048"/>
  <c r="AC1047"/>
  <c r="AC1046"/>
  <c r="AC1044"/>
  <c r="AC1039"/>
  <c r="AC1038"/>
  <c r="AC1037"/>
  <c r="AC1036"/>
  <c r="AC1035"/>
  <c r="AC1034"/>
  <c r="AC1033"/>
  <c r="AC1031"/>
  <c r="AC1029"/>
  <c r="B1029"/>
  <c r="B1031" s="1"/>
  <c r="B1033" s="1"/>
  <c r="B1034" s="1"/>
  <c r="B1035" s="1"/>
  <c r="B1036" s="1"/>
  <c r="B1037" s="1"/>
  <c r="B1038" s="1"/>
  <c r="AA1026"/>
  <c r="K1026"/>
  <c r="J1026"/>
  <c r="AC1025"/>
  <c r="Y1025"/>
  <c r="AC1024"/>
  <c r="Y1024"/>
  <c r="AC1023"/>
  <c r="Y1023"/>
  <c r="AC1022"/>
  <c r="Y1022"/>
  <c r="AC1021"/>
  <c r="AD1021" s="1"/>
  <c r="B1021"/>
  <c r="B1022" s="1"/>
  <c r="B1023" s="1"/>
  <c r="B1024" s="1"/>
  <c r="B1025" s="1"/>
  <c r="AA1019"/>
  <c r="K1019"/>
  <c r="J1019"/>
  <c r="Z1018"/>
  <c r="Y1018"/>
  <c r="Z1017"/>
  <c r="Y1017"/>
  <c r="AC1016"/>
  <c r="Y1016"/>
  <c r="AC1015"/>
  <c r="Y1015"/>
  <c r="AC1014"/>
  <c r="Y1014"/>
  <c r="AC1013"/>
  <c r="Y1013"/>
  <c r="AC1012"/>
  <c r="Y1012"/>
  <c r="AC1011"/>
  <c r="AD1011" s="1"/>
  <c r="B1011"/>
  <c r="B1012" s="1"/>
  <c r="B1013" s="1"/>
  <c r="B1014" s="1"/>
  <c r="B1015" s="1"/>
  <c r="B1016" s="1"/>
  <c r="B1017" s="1"/>
  <c r="B1018" s="1"/>
  <c r="AA1009"/>
  <c r="K1009"/>
  <c r="J1009"/>
  <c r="AC1008"/>
  <c r="Y1008"/>
  <c r="AC1007"/>
  <c r="Y1007"/>
  <c r="AC1006"/>
  <c r="Y1006"/>
  <c r="AC1005"/>
  <c r="Y1005"/>
  <c r="AC1004"/>
  <c r="Y1004"/>
  <c r="AC1003"/>
  <c r="Y1003"/>
  <c r="AC1002"/>
  <c r="Y1002"/>
  <c r="AC1001"/>
  <c r="AD1001" s="1"/>
  <c r="B1001"/>
  <c r="B1002" s="1"/>
  <c r="B1003" s="1"/>
  <c r="B1004" s="1"/>
  <c r="B1005" s="1"/>
  <c r="B1006" s="1"/>
  <c r="B1007" s="1"/>
  <c r="B1008" s="1"/>
  <c r="AA999"/>
  <c r="K999"/>
  <c r="J999"/>
  <c r="AC998"/>
  <c r="Y998"/>
  <c r="AC997"/>
  <c r="Y997"/>
  <c r="AC996"/>
  <c r="Y996"/>
  <c r="AC995"/>
  <c r="Y995"/>
  <c r="AC994"/>
  <c r="Y994"/>
  <c r="AC993"/>
  <c r="Y993"/>
  <c r="AC992"/>
  <c r="Y992"/>
  <c r="AC991"/>
  <c r="AD991" s="1"/>
  <c r="B991"/>
  <c r="B992" s="1"/>
  <c r="B993" s="1"/>
  <c r="B994" s="1"/>
  <c r="B995" s="1"/>
  <c r="B996" s="1"/>
  <c r="B997" s="1"/>
  <c r="B998" s="1"/>
  <c r="AA989"/>
  <c r="K989"/>
  <c r="J989"/>
  <c r="AC988"/>
  <c r="AC987"/>
  <c r="AC986"/>
  <c r="AC985"/>
  <c r="AC984"/>
  <c r="AC983"/>
  <c r="AC982"/>
  <c r="AC981"/>
  <c r="B981"/>
  <c r="B982" s="1"/>
  <c r="B983" s="1"/>
  <c r="B984" s="1"/>
  <c r="B985" s="1"/>
  <c r="B986" s="1"/>
  <c r="B987" s="1"/>
  <c r="B988" s="1"/>
  <c r="AA979"/>
  <c r="K979"/>
  <c r="J979"/>
  <c r="AC978"/>
  <c r="Y978"/>
  <c r="AC977"/>
  <c r="Y977"/>
  <c r="AC976"/>
  <c r="Y976"/>
  <c r="AC975"/>
  <c r="Y975"/>
  <c r="AC974"/>
  <c r="Y974"/>
  <c r="AC973"/>
  <c r="Y973"/>
  <c r="AC972"/>
  <c r="Y972"/>
  <c r="AC971"/>
  <c r="AD971" s="1"/>
  <c r="B971"/>
  <c r="B972" s="1"/>
  <c r="B973" s="1"/>
  <c r="B974" s="1"/>
  <c r="B975" s="1"/>
  <c r="B976" s="1"/>
  <c r="B977" s="1"/>
  <c r="B978" s="1"/>
  <c r="AA969"/>
  <c r="K969"/>
  <c r="J969"/>
  <c r="Z968"/>
  <c r="Y968"/>
  <c r="Z967"/>
  <c r="Y967"/>
  <c r="AC966"/>
  <c r="Y966"/>
  <c r="AC965"/>
  <c r="Y965"/>
  <c r="AC964"/>
  <c r="Y964"/>
  <c r="AC963"/>
  <c r="Y963"/>
  <c r="AC962"/>
  <c r="Y962"/>
  <c r="AC961"/>
  <c r="AD961" s="1"/>
  <c r="B961"/>
  <c r="B962" s="1"/>
  <c r="B963" s="1"/>
  <c r="B964" s="1"/>
  <c r="B965" s="1"/>
  <c r="B966" s="1"/>
  <c r="B967" s="1"/>
  <c r="B968" s="1"/>
  <c r="AA959"/>
  <c r="K959"/>
  <c r="J959"/>
  <c r="Z958"/>
  <c r="Y958"/>
  <c r="Z957"/>
  <c r="Y957"/>
  <c r="AC956"/>
  <c r="Y956"/>
  <c r="AC955"/>
  <c r="Y955"/>
  <c r="AC954"/>
  <c r="Y954"/>
  <c r="AC953"/>
  <c r="Y953"/>
  <c r="AC952"/>
  <c r="Y952"/>
  <c r="AC951"/>
  <c r="B951"/>
  <c r="B952" s="1"/>
  <c r="B953" s="1"/>
  <c r="B954" s="1"/>
  <c r="B955" s="1"/>
  <c r="B956" s="1"/>
  <c r="B957" s="1"/>
  <c r="B958" s="1"/>
  <c r="AA949"/>
  <c r="K949"/>
  <c r="J949"/>
  <c r="Y948"/>
  <c r="Y947"/>
  <c r="AC946"/>
  <c r="Y946"/>
  <c r="AC945"/>
  <c r="Y945"/>
  <c r="AC944"/>
  <c r="Y944"/>
  <c r="AC943"/>
  <c r="Y943"/>
  <c r="AC942"/>
  <c r="Y942"/>
  <c r="AC941"/>
  <c r="AD941" s="1"/>
  <c r="B941"/>
  <c r="B942" s="1"/>
  <c r="B943" s="1"/>
  <c r="B944" s="1"/>
  <c r="B945" s="1"/>
  <c r="B946" s="1"/>
  <c r="B947" s="1"/>
  <c r="B948" s="1"/>
  <c r="AA939"/>
  <c r="K939"/>
  <c r="J939"/>
  <c r="AC935"/>
  <c r="AD935" s="1"/>
  <c r="AC934"/>
  <c r="AD934" s="1"/>
  <c r="Y934"/>
  <c r="AC933"/>
  <c r="AD933" s="1"/>
  <c r="Y933"/>
  <c r="B933"/>
  <c r="AC932"/>
  <c r="AD932" s="1"/>
  <c r="Y932"/>
  <c r="AC931"/>
  <c r="AD931" s="1"/>
  <c r="B931"/>
  <c r="AA929"/>
  <c r="K929"/>
  <c r="J929"/>
  <c r="AC926"/>
  <c r="Y926"/>
  <c r="AC925"/>
  <c r="Y925"/>
  <c r="B925"/>
  <c r="B926" s="1"/>
  <c r="B927" s="1"/>
  <c r="B928" s="1"/>
  <c r="AC924"/>
  <c r="Y924"/>
  <c r="AC923"/>
  <c r="Y923"/>
  <c r="B923"/>
  <c r="AC922"/>
  <c r="Z922" s="1"/>
  <c r="Y922"/>
  <c r="AC921"/>
  <c r="AD921" s="1"/>
  <c r="Y921"/>
  <c r="B921"/>
  <c r="AA919"/>
  <c r="K919"/>
  <c r="J919"/>
  <c r="AC918"/>
  <c r="Y918"/>
  <c r="AC917"/>
  <c r="Y917"/>
  <c r="AC916"/>
  <c r="Y916"/>
  <c r="AC915"/>
  <c r="Y915"/>
  <c r="AC914"/>
  <c r="Y914"/>
  <c r="AC913"/>
  <c r="Y913"/>
  <c r="AC912"/>
  <c r="Y912"/>
  <c r="AC911"/>
  <c r="AD911" s="1"/>
  <c r="B911"/>
  <c r="B912" s="1"/>
  <c r="B913" s="1"/>
  <c r="B914" s="1"/>
  <c r="B915" s="1"/>
  <c r="B916" s="1"/>
  <c r="B917" s="1"/>
  <c r="B918" s="1"/>
  <c r="AA909"/>
  <c r="K909"/>
  <c r="J909"/>
  <c r="Z908"/>
  <c r="Y908"/>
  <c r="Z907"/>
  <c r="Y907"/>
  <c r="AC906"/>
  <c r="Y906"/>
  <c r="AC905"/>
  <c r="Y905"/>
  <c r="AC904"/>
  <c r="Y904"/>
  <c r="AC903"/>
  <c r="Y903"/>
  <c r="AC902"/>
  <c r="Y902"/>
  <c r="AC901"/>
  <c r="AD901" s="1"/>
  <c r="B901"/>
  <c r="B902" s="1"/>
  <c r="B903" s="1"/>
  <c r="B904" s="1"/>
  <c r="B905" s="1"/>
  <c r="B906" s="1"/>
  <c r="B907" s="1"/>
  <c r="B908" s="1"/>
  <c r="AA899"/>
  <c r="K899"/>
  <c r="J899"/>
  <c r="Z898"/>
  <c r="Y898"/>
  <c r="Z897"/>
  <c r="Y897"/>
  <c r="AC896"/>
  <c r="Y896"/>
  <c r="AC895"/>
  <c r="Y895"/>
  <c r="AC894"/>
  <c r="Y894"/>
  <c r="AC893"/>
  <c r="Y893"/>
  <c r="AC892"/>
  <c r="Y892"/>
  <c r="AC891"/>
  <c r="AD891" s="1"/>
  <c r="B891"/>
  <c r="B892" s="1"/>
  <c r="B893" s="1"/>
  <c r="B894" s="1"/>
  <c r="B895" s="1"/>
  <c r="B896" s="1"/>
  <c r="B897" s="1"/>
  <c r="B898" s="1"/>
  <c r="AA889"/>
  <c r="K889"/>
  <c r="J889"/>
  <c r="Z888"/>
  <c r="Y888"/>
  <c r="Z887"/>
  <c r="Y887"/>
  <c r="AC886"/>
  <c r="Y886"/>
  <c r="AC885"/>
  <c r="Y885"/>
  <c r="AC884"/>
  <c r="Y884"/>
  <c r="AC883"/>
  <c r="Y883"/>
  <c r="AC882"/>
  <c r="Y882"/>
  <c r="B882"/>
  <c r="B883" s="1"/>
  <c r="B884" s="1"/>
  <c r="B885" s="1"/>
  <c r="B886" s="1"/>
  <c r="B887" s="1"/>
  <c r="B888" s="1"/>
  <c r="AA880"/>
  <c r="K880"/>
  <c r="J880"/>
  <c r="AC877"/>
  <c r="AC876"/>
  <c r="AC875"/>
  <c r="AC874"/>
  <c r="AC873"/>
  <c r="AD873" s="1"/>
  <c r="Z873" s="1"/>
  <c r="B873"/>
  <c r="B874" s="1"/>
  <c r="B875" s="1"/>
  <c r="B876" s="1"/>
  <c r="B877" s="1"/>
  <c r="B878" s="1"/>
  <c r="B879" s="1"/>
  <c r="AA871"/>
  <c r="K871"/>
  <c r="J871"/>
  <c r="Z870"/>
  <c r="Y870"/>
  <c r="Z869"/>
  <c r="Y869"/>
  <c r="AC868"/>
  <c r="AD868" s="1"/>
  <c r="AC867"/>
  <c r="AD867" s="1"/>
  <c r="AC866"/>
  <c r="AD866" s="1"/>
  <c r="AC865"/>
  <c r="AD865" s="1"/>
  <c r="AC864"/>
  <c r="AC863"/>
  <c r="B863"/>
  <c r="B864" s="1"/>
  <c r="B865" s="1"/>
  <c r="B866" s="1"/>
  <c r="B867" s="1"/>
  <c r="B868" s="1"/>
  <c r="B869" s="1"/>
  <c r="B870" s="1"/>
  <c r="AA861"/>
  <c r="K861"/>
  <c r="J861"/>
  <c r="Z860"/>
  <c r="Y860"/>
  <c r="Z859"/>
  <c r="Y859"/>
  <c r="AC858"/>
  <c r="Y858"/>
  <c r="AC857"/>
  <c r="Y857"/>
  <c r="AC856"/>
  <c r="Y856"/>
  <c r="AC855"/>
  <c r="Y855"/>
  <c r="AC854"/>
  <c r="Y854"/>
  <c r="AC853"/>
  <c r="AD853" s="1"/>
  <c r="B853"/>
  <c r="B854" s="1"/>
  <c r="B855" s="1"/>
  <c r="B856" s="1"/>
  <c r="B857" s="1"/>
  <c r="B858" s="1"/>
  <c r="B859" s="1"/>
  <c r="B860" s="1"/>
  <c r="AA851"/>
  <c r="Y851"/>
  <c r="K851"/>
  <c r="J851"/>
  <c r="AC848"/>
  <c r="AD848" s="1"/>
  <c r="AC847"/>
  <c r="AD847" s="1"/>
  <c r="AC846"/>
  <c r="AD846" s="1"/>
  <c r="AC845"/>
  <c r="AD845" s="1"/>
  <c r="AC844"/>
  <c r="AD844" s="1"/>
  <c r="AC843"/>
  <c r="AD843" s="1"/>
  <c r="B843"/>
  <c r="B844" s="1"/>
  <c r="B845" s="1"/>
  <c r="B846" s="1"/>
  <c r="B847" s="1"/>
  <c r="B848" s="1"/>
  <c r="B849" s="1"/>
  <c r="B850" s="1"/>
  <c r="AA841"/>
  <c r="K841"/>
  <c r="J841"/>
  <c r="AC838"/>
  <c r="AC837"/>
  <c r="AC836"/>
  <c r="Y836"/>
  <c r="AC835"/>
  <c r="AC834"/>
  <c r="AC833"/>
  <c r="AD833" s="1"/>
  <c r="B833"/>
  <c r="B834" s="1"/>
  <c r="B835" s="1"/>
  <c r="B836" s="1"/>
  <c r="B837" s="1"/>
  <c r="B838" s="1"/>
  <c r="B839" s="1"/>
  <c r="B840" s="1"/>
  <c r="AA831"/>
  <c r="K831"/>
  <c r="J831"/>
  <c r="AC829"/>
  <c r="AD829" s="1"/>
  <c r="AC828"/>
  <c r="AD828" s="1"/>
  <c r="AC827"/>
  <c r="AD827" s="1"/>
  <c r="AC826"/>
  <c r="AD826" s="1"/>
  <c r="AC825"/>
  <c r="AD825" s="1"/>
  <c r="AC824"/>
  <c r="AD824" s="1"/>
  <c r="AC823"/>
  <c r="AD823" s="1"/>
  <c r="Z823"/>
  <c r="B823"/>
  <c r="B824" s="1"/>
  <c r="B825" s="1"/>
  <c r="B826" s="1"/>
  <c r="B827" s="1"/>
  <c r="B828" s="1"/>
  <c r="B829" s="1"/>
  <c r="B830" s="1"/>
  <c r="AA821"/>
  <c r="K821"/>
  <c r="J821"/>
  <c r="AC818"/>
  <c r="Y818"/>
  <c r="AC817"/>
  <c r="Y817"/>
  <c r="AC816"/>
  <c r="Y816"/>
  <c r="AC815"/>
  <c r="Y815"/>
  <c r="AC814"/>
  <c r="Y814"/>
  <c r="AC813"/>
  <c r="AD813" s="1"/>
  <c r="Y813"/>
  <c r="B813"/>
  <c r="B814" s="1"/>
  <c r="B815" s="1"/>
  <c r="AA811"/>
  <c r="K811"/>
  <c r="J811"/>
  <c r="AC808"/>
  <c r="AD808" s="1"/>
  <c r="Z807"/>
  <c r="Y807" s="1"/>
  <c r="AC806"/>
  <c r="AD806" s="1"/>
  <c r="Z806"/>
  <c r="Y806" s="1"/>
  <c r="AC805"/>
  <c r="AD805" s="1"/>
  <c r="Z805"/>
  <c r="Y805" s="1"/>
  <c r="AC804"/>
  <c r="Y804"/>
  <c r="AC803"/>
  <c r="AD803" s="1"/>
  <c r="B803"/>
  <c r="B804" s="1"/>
  <c r="B805" s="1"/>
  <c r="B806" s="1"/>
  <c r="B807" s="1"/>
  <c r="B808" s="1"/>
  <c r="B809" s="1"/>
  <c r="B810" s="1"/>
  <c r="AA801"/>
  <c r="K801"/>
  <c r="J801"/>
  <c r="AC800"/>
  <c r="Y800"/>
  <c r="AC799"/>
  <c r="Y799"/>
  <c r="AC798"/>
  <c r="Y798"/>
  <c r="AC797"/>
  <c r="Y797"/>
  <c r="AC796"/>
  <c r="Y796"/>
  <c r="AC795"/>
  <c r="AD795" s="1"/>
  <c r="Y795"/>
  <c r="J790"/>
  <c r="B782"/>
  <c r="B783" s="1"/>
  <c r="B784" s="1"/>
  <c r="B785" s="1"/>
  <c r="B786" s="1"/>
  <c r="K765"/>
  <c r="J765"/>
  <c r="B753"/>
  <c r="B754" s="1"/>
  <c r="B755" s="1"/>
  <c r="B757" s="1"/>
  <c r="B758" s="1"/>
  <c r="B759" s="1"/>
  <c r="B760" s="1"/>
  <c r="B761" s="1"/>
  <c r="B762" s="1"/>
  <c r="B763" s="1"/>
  <c r="B764" s="1"/>
  <c r="B743"/>
  <c r="B744" s="1"/>
  <c r="B745" s="1"/>
  <c r="B746" s="1"/>
  <c r="B747" s="1"/>
  <c r="B748" s="1"/>
  <c r="B749" s="1"/>
  <c r="B750" s="1"/>
  <c r="B740"/>
  <c r="B719"/>
  <c r="B720" s="1"/>
  <c r="B721" s="1"/>
  <c r="B722" s="1"/>
  <c r="B723" s="1"/>
  <c r="B724" s="1"/>
  <c r="B725" s="1"/>
  <c r="B726" s="1"/>
  <c r="B728" s="1"/>
  <c r="B729" s="1"/>
  <c r="B730" s="1"/>
  <c r="B731" s="1"/>
  <c r="B732" s="1"/>
  <c r="B733" s="1"/>
  <c r="B734" s="1"/>
  <c r="B735" s="1"/>
  <c r="B736" s="1"/>
  <c r="B737" s="1"/>
  <c r="B712"/>
  <c r="B713" s="1"/>
  <c r="B714" s="1"/>
  <c r="B715" s="1"/>
  <c r="B716" s="1"/>
  <c r="B701"/>
  <c r="B702" s="1"/>
  <c r="B693"/>
  <c r="B694" s="1"/>
  <c r="B695" s="1"/>
  <c r="B696" s="1"/>
  <c r="B697" s="1"/>
  <c r="AD690"/>
  <c r="AC690"/>
  <c r="AB690"/>
  <c r="AA690"/>
  <c r="Z690"/>
  <c r="Y690"/>
  <c r="J690"/>
  <c r="AD683"/>
  <c r="AC683"/>
  <c r="AB683"/>
  <c r="AA683"/>
  <c r="Z683"/>
  <c r="J683"/>
  <c r="AC674"/>
  <c r="AA674"/>
  <c r="J674"/>
  <c r="Z673"/>
  <c r="Y673"/>
  <c r="Z672"/>
  <c r="Y672"/>
  <c r="Z671"/>
  <c r="Y671"/>
  <c r="Z670"/>
  <c r="Y670"/>
  <c r="AD674"/>
  <c r="Z669"/>
  <c r="Y669"/>
  <c r="J667"/>
  <c r="AC664"/>
  <c r="AD664" s="1"/>
  <c r="AC663"/>
  <c r="Z662"/>
  <c r="Y662"/>
  <c r="Z661"/>
  <c r="Y661"/>
  <c r="J658"/>
  <c r="AC656"/>
  <c r="AD656" s="1"/>
  <c r="Z656" s="1"/>
  <c r="AC655"/>
  <c r="AD655" s="1"/>
  <c r="Z655" s="1"/>
  <c r="AC654"/>
  <c r="AD654" s="1"/>
  <c r="Z654" s="1"/>
  <c r="B654"/>
  <c r="B655" s="1"/>
  <c r="B656" s="1"/>
  <c r="B657" s="1"/>
  <c r="AC653"/>
  <c r="AA651"/>
  <c r="K651"/>
  <c r="J651"/>
  <c r="AC650"/>
  <c r="AD650" s="1"/>
  <c r="Z650" s="1"/>
  <c r="AC649"/>
  <c r="Y649"/>
  <c r="AC648"/>
  <c r="Y648"/>
  <c r="B648"/>
  <c r="B649" s="1"/>
  <c r="B650" s="1"/>
  <c r="AC647"/>
  <c r="Y647"/>
  <c r="AC646"/>
  <c r="AD646" s="1"/>
  <c r="Y646"/>
  <c r="AA644"/>
  <c r="K644"/>
  <c r="J644"/>
  <c r="AC643"/>
  <c r="Y643"/>
  <c r="AC642"/>
  <c r="Y642"/>
  <c r="AC641"/>
  <c r="Y641"/>
  <c r="AC640"/>
  <c r="AD640" s="1"/>
  <c r="Y640"/>
  <c r="B640"/>
  <c r="B641" s="1"/>
  <c r="B642" s="1"/>
  <c r="B643" s="1"/>
  <c r="AA638"/>
  <c r="K638"/>
  <c r="J638"/>
  <c r="AC637"/>
  <c r="Y637"/>
  <c r="AC636"/>
  <c r="Y636"/>
  <c r="AC635"/>
  <c r="Y635"/>
  <c r="B635"/>
  <c r="AC634"/>
  <c r="AD634" s="1"/>
  <c r="Y634"/>
  <c r="AA632"/>
  <c r="Y632"/>
  <c r="K632"/>
  <c r="J632"/>
  <c r="AC631"/>
  <c r="AC630"/>
  <c r="AC629"/>
  <c r="AD629" s="1"/>
  <c r="B629"/>
  <c r="B630" s="1"/>
  <c r="B631" s="1"/>
  <c r="AC628"/>
  <c r="AD628" s="1"/>
  <c r="AA626"/>
  <c r="J626"/>
  <c r="AC625"/>
  <c r="AC624"/>
  <c r="Y624"/>
  <c r="AC623"/>
  <c r="Y623"/>
  <c r="AC622"/>
  <c r="Y622"/>
  <c r="B622"/>
  <c r="B623" s="1"/>
  <c r="B624" s="1"/>
  <c r="AC621"/>
  <c r="AD621" s="1"/>
  <c r="Y621"/>
  <c r="J619"/>
  <c r="AC617"/>
  <c r="Y617"/>
  <c r="AC616"/>
  <c r="Y616"/>
  <c r="AC615"/>
  <c r="Y615"/>
  <c r="B615"/>
  <c r="B616" s="1"/>
  <c r="B617" s="1"/>
  <c r="B618" s="1"/>
  <c r="AC614"/>
  <c r="Y614"/>
  <c r="Y619" s="1"/>
  <c r="AA612"/>
  <c r="K612"/>
  <c r="J612"/>
  <c r="AC611"/>
  <c r="Y611"/>
  <c r="AC610"/>
  <c r="Y610"/>
  <c r="AC609"/>
  <c r="Y609"/>
  <c r="B609"/>
  <c r="B610" s="1"/>
  <c r="B611" s="1"/>
  <c r="AC608"/>
  <c r="AD608" s="1"/>
  <c r="AA606"/>
  <c r="K606"/>
  <c r="J606"/>
  <c r="AC605"/>
  <c r="Y605"/>
  <c r="AC604"/>
  <c r="Y604"/>
  <c r="AC603"/>
  <c r="AC602"/>
  <c r="Y602"/>
  <c r="AA600"/>
  <c r="K600"/>
  <c r="J600"/>
  <c r="AC599"/>
  <c r="Y599"/>
  <c r="AC598"/>
  <c r="Y598"/>
  <c r="B598"/>
  <c r="B599" s="1"/>
  <c r="AC597"/>
  <c r="Y597"/>
  <c r="AC596"/>
  <c r="AD596" s="1"/>
  <c r="Y596"/>
  <c r="AA594"/>
  <c r="K594"/>
  <c r="J594"/>
  <c r="AC593"/>
  <c r="Y593"/>
  <c r="B593"/>
  <c r="AC592"/>
  <c r="Y592"/>
  <c r="AC591"/>
  <c r="Y591"/>
  <c r="AC590"/>
  <c r="AD590" s="1"/>
  <c r="Y590"/>
  <c r="AA588"/>
  <c r="J588"/>
  <c r="AC587"/>
  <c r="Y587"/>
  <c r="AC586"/>
  <c r="Y586"/>
  <c r="AC585"/>
  <c r="Y585"/>
  <c r="AC584"/>
  <c r="Y584"/>
  <c r="AC583"/>
  <c r="AD583" s="1"/>
  <c r="Y583"/>
  <c r="AA581"/>
  <c r="K581"/>
  <c r="J581"/>
  <c r="AC580"/>
  <c r="Y580"/>
  <c r="AC579"/>
  <c r="Y579"/>
  <c r="AC577"/>
  <c r="Y577"/>
  <c r="AC576"/>
  <c r="Y576"/>
  <c r="AC575"/>
  <c r="AD575" s="1"/>
  <c r="AA573"/>
  <c r="K573"/>
  <c r="J573"/>
  <c r="AC572"/>
  <c r="Y572"/>
  <c r="AC571"/>
  <c r="Z571" s="1"/>
  <c r="Y571"/>
  <c r="AC570"/>
  <c r="AD570" s="1"/>
  <c r="Y570"/>
  <c r="AC569"/>
  <c r="AD569" s="1"/>
  <c r="Y569"/>
  <c r="Y573" s="1"/>
  <c r="J567"/>
  <c r="AC565"/>
  <c r="Y565"/>
  <c r="AC564"/>
  <c r="Y564"/>
  <c r="AC563"/>
  <c r="Y563"/>
  <c r="AC562"/>
  <c r="AA559"/>
  <c r="J559"/>
  <c r="Z558"/>
  <c r="Y558"/>
  <c r="Z557"/>
  <c r="Y557"/>
  <c r="AC556"/>
  <c r="Y556"/>
  <c r="AC555"/>
  <c r="Y555"/>
  <c r="AC554"/>
  <c r="Y554"/>
  <c r="AA552"/>
  <c r="K552"/>
  <c r="J552"/>
  <c r="Z551"/>
  <c r="Y551"/>
  <c r="AC550"/>
  <c r="AC549"/>
  <c r="Y549"/>
  <c r="AA547"/>
  <c r="J547"/>
  <c r="AC546"/>
  <c r="AC545"/>
  <c r="Y545"/>
  <c r="B545"/>
  <c r="AC544"/>
  <c r="AD544" s="1"/>
  <c r="Y544"/>
  <c r="AA542"/>
  <c r="K542"/>
  <c r="J542"/>
  <c r="AC541"/>
  <c r="Y541"/>
  <c r="B541"/>
  <c r="AC540"/>
  <c r="Y540"/>
  <c r="AC539"/>
  <c r="Y539"/>
  <c r="AC538"/>
  <c r="AD538" s="1"/>
  <c r="AA536"/>
  <c r="K536"/>
  <c r="J536"/>
  <c r="AC535"/>
  <c r="AD535" s="1"/>
  <c r="Z535" s="1"/>
  <c r="B535"/>
  <c r="AC534"/>
  <c r="Y534"/>
  <c r="AC533"/>
  <c r="Y533"/>
  <c r="AC532"/>
  <c r="AD532" s="1"/>
  <c r="AA530"/>
  <c r="K530"/>
  <c r="J530"/>
  <c r="AC529"/>
  <c r="Y529"/>
  <c r="AC528"/>
  <c r="Y528"/>
  <c r="AC527"/>
  <c r="AD527" s="1"/>
  <c r="AA525"/>
  <c r="K525"/>
  <c r="J525"/>
  <c r="AC524"/>
  <c r="Y524"/>
  <c r="AC523"/>
  <c r="Y523"/>
  <c r="AC522"/>
  <c r="AD522" s="1"/>
  <c r="Y522"/>
  <c r="AA520"/>
  <c r="K520"/>
  <c r="J520"/>
  <c r="Y519"/>
  <c r="AC518"/>
  <c r="Y518"/>
  <c r="AC517"/>
  <c r="Y517"/>
  <c r="B517"/>
  <c r="B518" s="1"/>
  <c r="B519" s="1"/>
  <c r="AC516"/>
  <c r="AD516" s="1"/>
  <c r="AA514"/>
  <c r="J514"/>
  <c r="AC513"/>
  <c r="Y513"/>
  <c r="AC512"/>
  <c r="Y512"/>
  <c r="AC511"/>
  <c r="Y511"/>
  <c r="B511"/>
  <c r="B512" s="1"/>
  <c r="AC510"/>
  <c r="Y510"/>
  <c r="AC509"/>
  <c r="AD509" s="1"/>
  <c r="AA507"/>
  <c r="K507"/>
  <c r="J507"/>
  <c r="AC506"/>
  <c r="Y506"/>
  <c r="AC505"/>
  <c r="Y505"/>
  <c r="AC504"/>
  <c r="Y504"/>
  <c r="AC503"/>
  <c r="Y503"/>
  <c r="AC502"/>
  <c r="AD502" s="1"/>
  <c r="AA500"/>
  <c r="K500"/>
  <c r="J500"/>
  <c r="AC499"/>
  <c r="Y499"/>
  <c r="AC498"/>
  <c r="Y498"/>
  <c r="AC497"/>
  <c r="Y497"/>
  <c r="B497"/>
  <c r="B498" s="1"/>
  <c r="B499" s="1"/>
  <c r="AC496"/>
  <c r="AD496" s="1"/>
  <c r="AA494"/>
  <c r="K494"/>
  <c r="J494"/>
  <c r="AC493"/>
  <c r="Y493"/>
  <c r="AC492"/>
  <c r="Y492"/>
  <c r="AC491"/>
  <c r="Y491"/>
  <c r="B491"/>
  <c r="B492" s="1"/>
  <c r="B493" s="1"/>
  <c r="AC490"/>
  <c r="AD490" s="1"/>
  <c r="Y490"/>
  <c r="K488"/>
  <c r="J488"/>
  <c r="AC487"/>
  <c r="Y487"/>
  <c r="AC486"/>
  <c r="Y486"/>
  <c r="B486"/>
  <c r="B487" s="1"/>
  <c r="AC485"/>
  <c r="Y485"/>
  <c r="AC484"/>
  <c r="AD484" s="1"/>
  <c r="Y484"/>
  <c r="AA482"/>
  <c r="K482"/>
  <c r="J482"/>
  <c r="AC481"/>
  <c r="Y481"/>
  <c r="AC480"/>
  <c r="Y480"/>
  <c r="AC479"/>
  <c r="AA477"/>
  <c r="K477"/>
  <c r="J477"/>
  <c r="AC476"/>
  <c r="AD476" s="1"/>
  <c r="Z476" s="1"/>
  <c r="AC475"/>
  <c r="Y475"/>
  <c r="B475"/>
  <c r="AC474"/>
  <c r="Y474"/>
  <c r="AC473"/>
  <c r="AD473" s="1"/>
  <c r="AA471"/>
  <c r="Y471"/>
  <c r="K471"/>
  <c r="J471"/>
  <c r="AC470"/>
  <c r="AD470" s="1"/>
  <c r="Z470"/>
  <c r="AC469"/>
  <c r="AD469" s="1"/>
  <c r="Z469"/>
  <c r="B469"/>
  <c r="B470" s="1"/>
  <c r="AC468"/>
  <c r="AD468" s="1"/>
  <c r="Z468"/>
  <c r="AC467"/>
  <c r="AD467" s="1"/>
  <c r="J465"/>
  <c r="Z464"/>
  <c r="Y464"/>
  <c r="AC463"/>
  <c r="Y463"/>
  <c r="B463"/>
  <c r="AC462"/>
  <c r="Y462"/>
  <c r="AC461"/>
  <c r="Y461"/>
  <c r="AC460"/>
  <c r="Y460"/>
  <c r="Y465" s="1"/>
  <c r="AA458"/>
  <c r="K458"/>
  <c r="J458"/>
  <c r="AC457"/>
  <c r="Y457"/>
  <c r="AC456"/>
  <c r="Y456"/>
  <c r="AC455"/>
  <c r="AD455" s="1"/>
  <c r="AA453"/>
  <c r="K453"/>
  <c r="J453"/>
  <c r="AC452"/>
  <c r="Y452"/>
  <c r="AC451"/>
  <c r="Y451"/>
  <c r="B451"/>
  <c r="B452" s="1"/>
  <c r="AC450"/>
  <c r="AC449"/>
  <c r="AD449" s="1"/>
  <c r="Y449"/>
  <c r="AA447"/>
  <c r="K447"/>
  <c r="J447"/>
  <c r="AC446"/>
  <c r="Y446"/>
  <c r="AC445"/>
  <c r="Y445"/>
  <c r="B445"/>
  <c r="B446" s="1"/>
  <c r="AC444"/>
  <c r="Y444"/>
  <c r="AC443"/>
  <c r="AD443" s="1"/>
  <c r="Y443"/>
  <c r="AA441"/>
  <c r="K441"/>
  <c r="J441"/>
  <c r="Z440"/>
  <c r="Y440"/>
  <c r="AC439"/>
  <c r="Y439"/>
  <c r="AC438"/>
  <c r="Y438"/>
  <c r="AC437"/>
  <c r="AD437" s="1"/>
  <c r="AA435"/>
  <c r="K435"/>
  <c r="J435"/>
  <c r="AC434"/>
  <c r="Y434"/>
  <c r="AC433"/>
  <c r="Y433"/>
  <c r="AC432"/>
  <c r="Y432"/>
  <c r="AC431"/>
  <c r="AD431" s="1"/>
  <c r="B431"/>
  <c r="B432" s="1"/>
  <c r="B433" s="1"/>
  <c r="B434" s="1"/>
  <c r="AA429"/>
  <c r="K429"/>
  <c r="J429"/>
  <c r="AC427"/>
  <c r="AC426"/>
  <c r="AD426" s="1"/>
  <c r="Z426" s="1"/>
  <c r="B426"/>
  <c r="B427" s="1"/>
  <c r="B428" s="1"/>
  <c r="AC425"/>
  <c r="AD425" s="1"/>
  <c r="AA423"/>
  <c r="Y423"/>
  <c r="K423"/>
  <c r="J423"/>
  <c r="AC422"/>
  <c r="AD422" s="1"/>
  <c r="Z422" s="1"/>
  <c r="AC421"/>
  <c r="AD421" s="1"/>
  <c r="Z421" s="1"/>
  <c r="AC420"/>
  <c r="AD420" s="1"/>
  <c r="Z420" s="1"/>
  <c r="B420"/>
  <c r="B421" s="1"/>
  <c r="AC419"/>
  <c r="AD419" s="1"/>
  <c r="Z419" s="1"/>
  <c r="Z423" s="1"/>
  <c r="AA417"/>
  <c r="J417"/>
  <c r="AC416"/>
  <c r="Y416"/>
  <c r="AC415"/>
  <c r="Y415"/>
  <c r="AC414"/>
  <c r="Y414"/>
  <c r="AC413"/>
  <c r="Y413"/>
  <c r="AC412"/>
  <c r="AD412" s="1"/>
  <c r="Y412"/>
  <c r="B412"/>
  <c r="B413" s="1"/>
  <c r="B414" s="1"/>
  <c r="B415" s="1"/>
  <c r="K410"/>
  <c r="J410"/>
  <c r="Y409"/>
  <c r="AC408"/>
  <c r="Y408"/>
  <c r="AC407"/>
  <c r="Y407"/>
  <c r="AC406"/>
  <c r="AD406" s="1"/>
  <c r="Y406"/>
  <c r="B406"/>
  <c r="B407" s="1"/>
  <c r="B408" s="1"/>
  <c r="AA404"/>
  <c r="K404"/>
  <c r="J404"/>
  <c r="AC403"/>
  <c r="Y403"/>
  <c r="Y402"/>
  <c r="Z402"/>
  <c r="AC401"/>
  <c r="AD401" s="1"/>
  <c r="Y401"/>
  <c r="AA399"/>
  <c r="K399"/>
  <c r="J399"/>
  <c r="AC398"/>
  <c r="Y398"/>
  <c r="AC397"/>
  <c r="Y397"/>
  <c r="B397"/>
  <c r="B398" s="1"/>
  <c r="AC396"/>
  <c r="AC395"/>
  <c r="AD395" s="1"/>
  <c r="Y395"/>
  <c r="AA393"/>
  <c r="K393"/>
  <c r="J393"/>
  <c r="AC392"/>
  <c r="Y392"/>
  <c r="AC391"/>
  <c r="Y391"/>
  <c r="B391"/>
  <c r="B392" s="1"/>
  <c r="AC390"/>
  <c r="Y390"/>
  <c r="AC389"/>
  <c r="AD389" s="1"/>
  <c r="Y389"/>
  <c r="AA387"/>
  <c r="K387"/>
  <c r="J387"/>
  <c r="AC386"/>
  <c r="Y386"/>
  <c r="AC385"/>
  <c r="Y385"/>
  <c r="AC384"/>
  <c r="Y384"/>
  <c r="AC383"/>
  <c r="Y383"/>
  <c r="AC382"/>
  <c r="AD382" s="1"/>
  <c r="Y382"/>
  <c r="AA380"/>
  <c r="Y380"/>
  <c r="K380"/>
  <c r="J380"/>
  <c r="AC379"/>
  <c r="AC378"/>
  <c r="AC377"/>
  <c r="AB380"/>
  <c r="J375"/>
  <c r="AC373"/>
  <c r="Y373"/>
  <c r="AC372"/>
  <c r="Y372"/>
  <c r="AC371"/>
  <c r="B371"/>
  <c r="B372" s="1"/>
  <c r="B373" s="1"/>
  <c r="B374" s="1"/>
  <c r="J369"/>
  <c r="Y368"/>
  <c r="Y367"/>
  <c r="Z367"/>
  <c r="AC366"/>
  <c r="Y366"/>
  <c r="AC365"/>
  <c r="Y365"/>
  <c r="AC364"/>
  <c r="AC369" s="1"/>
  <c r="Y364"/>
  <c r="B364"/>
  <c r="B365" s="1"/>
  <c r="B366" s="1"/>
  <c r="AA362"/>
  <c r="K362"/>
  <c r="J362"/>
  <c r="AC361"/>
  <c r="AD361" s="1"/>
  <c r="Y361"/>
  <c r="AC360"/>
  <c r="Y360"/>
  <c r="AC359"/>
  <c r="AD359" s="1"/>
  <c r="B359"/>
  <c r="B360" s="1"/>
  <c r="AA357"/>
  <c r="K357"/>
  <c r="J357"/>
  <c r="AC356"/>
  <c r="AD356" s="1"/>
  <c r="AC355"/>
  <c r="AD355" s="1"/>
  <c r="J352"/>
  <c r="AC350"/>
  <c r="AC349"/>
  <c r="Y349"/>
  <c r="AC348"/>
  <c r="Y348"/>
  <c r="B348"/>
  <c r="B349" s="1"/>
  <c r="B350" s="1"/>
  <c r="B351" s="1"/>
  <c r="AC346"/>
  <c r="AA346"/>
  <c r="Z346"/>
  <c r="Y346"/>
  <c r="K346"/>
  <c r="J346"/>
  <c r="AD346"/>
  <c r="AB346"/>
  <c r="B344"/>
  <c r="J342"/>
  <c r="AC340"/>
  <c r="AC339"/>
  <c r="AC338"/>
  <c r="AB342"/>
  <c r="AA336"/>
  <c r="K336"/>
  <c r="J336"/>
  <c r="AC335"/>
  <c r="AD335" s="1"/>
  <c r="Y335"/>
  <c r="AC334"/>
  <c r="Y334"/>
  <c r="AC333"/>
  <c r="Y333"/>
  <c r="AC332"/>
  <c r="AD332" s="1"/>
  <c r="B332"/>
  <c r="B333" s="1"/>
  <c r="B334" s="1"/>
  <c r="AA330"/>
  <c r="K330"/>
  <c r="J330"/>
  <c r="Y329"/>
  <c r="Z329"/>
  <c r="AC328"/>
  <c r="Y328"/>
  <c r="AC327"/>
  <c r="AD327" s="1"/>
  <c r="B327"/>
  <c r="B328" s="1"/>
  <c r="AA325"/>
  <c r="K325"/>
  <c r="J325"/>
  <c r="AC323"/>
  <c r="AA320"/>
  <c r="K320"/>
  <c r="J320"/>
  <c r="AC319"/>
  <c r="AC320" s="1"/>
  <c r="AB319"/>
  <c r="AB320" s="1"/>
  <c r="B319"/>
  <c r="AA317"/>
  <c r="J317"/>
  <c r="AC315"/>
  <c r="Y315"/>
  <c r="AC314"/>
  <c r="Y314"/>
  <c r="AC313"/>
  <c r="AD313" s="1"/>
  <c r="Y313"/>
  <c r="AA311"/>
  <c r="K311"/>
  <c r="J311"/>
  <c r="AC310"/>
  <c r="AD310" s="1"/>
  <c r="AC309"/>
  <c r="AD309" s="1"/>
  <c r="AC308"/>
  <c r="AD308" s="1"/>
  <c r="B308"/>
  <c r="B309" s="1"/>
  <c r="B310" s="1"/>
  <c r="J306"/>
  <c r="AC304"/>
  <c r="Y304"/>
  <c r="AC303"/>
  <c r="Y303"/>
  <c r="B303"/>
  <c r="B304" s="1"/>
  <c r="AC302"/>
  <c r="AD302" s="1"/>
  <c r="Y302"/>
  <c r="AC301"/>
  <c r="Y301"/>
  <c r="J299"/>
  <c r="Z296"/>
  <c r="Y296"/>
  <c r="B296"/>
  <c r="B297" s="1"/>
  <c r="B298" s="1"/>
  <c r="Z295"/>
  <c r="Y295"/>
  <c r="Y299" s="1"/>
  <c r="AA293"/>
  <c r="K293"/>
  <c r="J293"/>
  <c r="AC292"/>
  <c r="AD292" s="1"/>
  <c r="Y292"/>
  <c r="AC291"/>
  <c r="Y291"/>
  <c r="AC290"/>
  <c r="Y290"/>
  <c r="B290"/>
  <c r="B291" s="1"/>
  <c r="AC289"/>
  <c r="AD289" s="1"/>
  <c r="Y289"/>
  <c r="AC287"/>
  <c r="AA287"/>
  <c r="K287"/>
  <c r="J287"/>
  <c r="Z286"/>
  <c r="Y286"/>
  <c r="Z284"/>
  <c r="Y284"/>
  <c r="Z283"/>
  <c r="K281"/>
  <c r="J281"/>
  <c r="AC280"/>
  <c r="Y280"/>
  <c r="AC279"/>
  <c r="Y279"/>
  <c r="AC278"/>
  <c r="AC277"/>
  <c r="AD277" s="1"/>
  <c r="Y277"/>
  <c r="AA275"/>
  <c r="K275"/>
  <c r="J275"/>
  <c r="AC274"/>
  <c r="AC273"/>
  <c r="AC272"/>
  <c r="AD272" s="1"/>
  <c r="AA270"/>
  <c r="K270"/>
  <c r="J270"/>
  <c r="Y268"/>
  <c r="Z267"/>
  <c r="Y267"/>
  <c r="AC266"/>
  <c r="Y266"/>
  <c r="AC265"/>
  <c r="AD265" s="1"/>
  <c r="Y265"/>
  <c r="Y270" s="1"/>
  <c r="J263"/>
  <c r="Z261"/>
  <c r="Y261"/>
  <c r="Y260"/>
  <c r="Z260"/>
  <c r="AC259"/>
  <c r="Y259"/>
  <c r="AC258"/>
  <c r="AD258" s="1"/>
  <c r="Y258"/>
  <c r="J256"/>
  <c r="AC254"/>
  <c r="AD254" s="1"/>
  <c r="Z254" s="1"/>
  <c r="AC253"/>
  <c r="Y253"/>
  <c r="Y256" s="1"/>
  <c r="B253"/>
  <c r="B254" s="1"/>
  <c r="B255" s="1"/>
  <c r="AC252"/>
  <c r="AD252" s="1"/>
  <c r="AA250"/>
  <c r="K250"/>
  <c r="J250"/>
  <c r="AC249"/>
  <c r="Y249"/>
  <c r="AC248"/>
  <c r="Y248"/>
  <c r="B248"/>
  <c r="B249" s="1"/>
  <c r="AC247"/>
  <c r="AD247" s="1"/>
  <c r="Y247"/>
  <c r="AC246"/>
  <c r="AD246" s="1"/>
  <c r="AA244"/>
  <c r="K244"/>
  <c r="J244"/>
  <c r="AC243"/>
  <c r="Y243"/>
  <c r="B243"/>
  <c r="AC242"/>
  <c r="Y242"/>
  <c r="AC241"/>
  <c r="Y241"/>
  <c r="AC240"/>
  <c r="AD240" s="1"/>
  <c r="Y240"/>
  <c r="AA238"/>
  <c r="K238"/>
  <c r="J238"/>
  <c r="AC237"/>
  <c r="Y237"/>
  <c r="AC236"/>
  <c r="Y236"/>
  <c r="B236"/>
  <c r="B237" s="1"/>
  <c r="AC235"/>
  <c r="Y235"/>
  <c r="AC234"/>
  <c r="AD234" s="1"/>
  <c r="Y234"/>
  <c r="AA232"/>
  <c r="K232"/>
  <c r="J232"/>
  <c r="AC231"/>
  <c r="Y231"/>
  <c r="B231"/>
  <c r="AC230"/>
  <c r="Y230"/>
  <c r="AC228"/>
  <c r="AD228" s="1"/>
  <c r="Y228"/>
  <c r="AA226"/>
  <c r="K226"/>
  <c r="J226"/>
  <c r="AC225"/>
  <c r="Y225"/>
  <c r="AC224"/>
  <c r="Y224"/>
  <c r="B224"/>
  <c r="B225" s="1"/>
  <c r="AC223"/>
  <c r="Y223"/>
  <c r="AC222"/>
  <c r="AD222" s="1"/>
  <c r="Y222"/>
  <c r="AA220"/>
  <c r="K220"/>
  <c r="J220"/>
  <c r="AC219"/>
  <c r="Y219"/>
  <c r="B219"/>
  <c r="AC218"/>
  <c r="Y218"/>
  <c r="AC217"/>
  <c r="Y217"/>
  <c r="AC216"/>
  <c r="AD216" s="1"/>
  <c r="Y216"/>
  <c r="AA214"/>
  <c r="K214"/>
  <c r="J214"/>
  <c r="AC213"/>
  <c r="Y213"/>
  <c r="B213"/>
  <c r="AC212"/>
  <c r="Y212"/>
  <c r="AC211"/>
  <c r="Y211"/>
  <c r="AC210"/>
  <c r="AD210" s="1"/>
  <c r="AA208"/>
  <c r="K208"/>
  <c r="J208"/>
  <c r="AC207"/>
  <c r="Y207"/>
  <c r="AC206"/>
  <c r="AD206" s="1"/>
  <c r="Z206" s="1"/>
  <c r="Y206"/>
  <c r="AC205"/>
  <c r="Y205"/>
  <c r="AC204"/>
  <c r="AD204" s="1"/>
  <c r="Y204"/>
  <c r="B204"/>
  <c r="AA202"/>
  <c r="K202"/>
  <c r="J202"/>
  <c r="AC201"/>
  <c r="AD201" s="1"/>
  <c r="Z201" s="1"/>
  <c r="Y201"/>
  <c r="AC200"/>
  <c r="Y200"/>
  <c r="AC199"/>
  <c r="Y199"/>
  <c r="AC198"/>
  <c r="AD198" s="1"/>
  <c r="AA196"/>
  <c r="K196"/>
  <c r="J196"/>
  <c r="Y195"/>
  <c r="AC194"/>
  <c r="Y194"/>
  <c r="B194"/>
  <c r="B195" s="1"/>
  <c r="AC193"/>
  <c r="Y193"/>
  <c r="AC192"/>
  <c r="AD192" s="1"/>
  <c r="Z192" s="1"/>
  <c r="Y192"/>
  <c r="AA190"/>
  <c r="K190"/>
  <c r="J190"/>
  <c r="Z189"/>
  <c r="Y189"/>
  <c r="Z188"/>
  <c r="Y188"/>
  <c r="Y187"/>
  <c r="AC186"/>
  <c r="AA184"/>
  <c r="K184"/>
  <c r="J184"/>
  <c r="AC183"/>
  <c r="Y183"/>
  <c r="AC182"/>
  <c r="Y182"/>
  <c r="AC181"/>
  <c r="Y181"/>
  <c r="AC180"/>
  <c r="AD180" s="1"/>
  <c r="AA178"/>
  <c r="K178"/>
  <c r="J178"/>
  <c r="AC177"/>
  <c r="AD177" s="1"/>
  <c r="Z177" s="1"/>
  <c r="Y177"/>
  <c r="AC176"/>
  <c r="Y176"/>
  <c r="AC175"/>
  <c r="Y175"/>
  <c r="AC174"/>
  <c r="AD174" s="1"/>
  <c r="Y174"/>
  <c r="J172"/>
  <c r="AC170"/>
  <c r="Y170"/>
  <c r="AC169"/>
  <c r="Y169"/>
  <c r="AC168"/>
  <c r="Y168"/>
  <c r="J166"/>
  <c r="AC164"/>
  <c r="AD164" s="1"/>
  <c r="Z164" s="1"/>
  <c r="AC163"/>
  <c r="AD163" s="1"/>
  <c r="Z163" s="1"/>
  <c r="AC162"/>
  <c r="AA160"/>
  <c r="Y160"/>
  <c r="K160"/>
  <c r="J160"/>
  <c r="AC159"/>
  <c r="AD159" s="1"/>
  <c r="Z159" s="1"/>
  <c r="AC158"/>
  <c r="AD158" s="1"/>
  <c r="Z158" s="1"/>
  <c r="B158"/>
  <c r="B159" s="1"/>
  <c r="AC157"/>
  <c r="AD157" s="1"/>
  <c r="Z157" s="1"/>
  <c r="AC156"/>
  <c r="AD156" s="1"/>
  <c r="Z156" s="1"/>
  <c r="AA154"/>
  <c r="Y154"/>
  <c r="K154"/>
  <c r="J154"/>
  <c r="AC153"/>
  <c r="AD153" s="1"/>
  <c r="Z153" s="1"/>
  <c r="AC152"/>
  <c r="AD152" s="1"/>
  <c r="Z152" s="1"/>
  <c r="AA148"/>
  <c r="Y148"/>
  <c r="K148"/>
  <c r="J148"/>
  <c r="AC147"/>
  <c r="AD147" s="1"/>
  <c r="Z147" s="1"/>
  <c r="AC146"/>
  <c r="AD146" s="1"/>
  <c r="Z146" s="1"/>
  <c r="AC145"/>
  <c r="AD145" s="1"/>
  <c r="Z145" s="1"/>
  <c r="B145"/>
  <c r="B146" s="1"/>
  <c r="B147" s="1"/>
  <c r="AC144"/>
  <c r="AD144" s="1"/>
  <c r="Z144" s="1"/>
  <c r="AA142"/>
  <c r="Y142"/>
  <c r="K142"/>
  <c r="J142"/>
  <c r="AC141"/>
  <c r="AD141" s="1"/>
  <c r="Z141" s="1"/>
  <c r="AC140"/>
  <c r="AD140" s="1"/>
  <c r="Z140" s="1"/>
  <c r="B140"/>
  <c r="B141" s="1"/>
  <c r="AC139"/>
  <c r="AD139" s="1"/>
  <c r="Z139" s="1"/>
  <c r="Z142" s="1"/>
  <c r="Z287" l="1"/>
  <c r="AC2066"/>
  <c r="Y178"/>
  <c r="Y352"/>
  <c r="Y667"/>
  <c r="Y2088"/>
  <c r="AD2075"/>
  <c r="AC2080"/>
  <c r="Z1963"/>
  <c r="AD1970"/>
  <c r="AD162"/>
  <c r="AC166"/>
  <c r="AD301"/>
  <c r="AC306"/>
  <c r="AD348"/>
  <c r="AC352"/>
  <c r="Z425"/>
  <c r="AD614"/>
  <c r="AC619"/>
  <c r="AD1916"/>
  <c r="AD1923" s="1"/>
  <c r="AC1923"/>
  <c r="Z299"/>
  <c r="AC2059"/>
  <c r="AD2154"/>
  <c r="AC2094"/>
  <c r="Z674"/>
  <c r="Z154"/>
  <c r="Z148"/>
  <c r="Y172"/>
  <c r="AC172"/>
  <c r="Y263"/>
  <c r="AD259"/>
  <c r="AD263" s="1"/>
  <c r="AC263"/>
  <c r="AD460"/>
  <c r="Z460" s="1"/>
  <c r="Z465" s="1"/>
  <c r="AC465"/>
  <c r="AD2105"/>
  <c r="Z2105" s="1"/>
  <c r="AD2104"/>
  <c r="Z2104" s="1"/>
  <c r="Y369"/>
  <c r="AC1912"/>
  <c r="AC2052"/>
  <c r="AC2101"/>
  <c r="AD562"/>
  <c r="AC567"/>
  <c r="AD653"/>
  <c r="AD658" s="1"/>
  <c r="AC658"/>
  <c r="AD981"/>
  <c r="AC989"/>
  <c r="AD2034"/>
  <c r="AC2041"/>
  <c r="Z1937"/>
  <c r="AD1999"/>
  <c r="AC2004"/>
  <c r="AC1787"/>
  <c r="AD2035"/>
  <c r="Z160"/>
  <c r="AD2109"/>
  <c r="AC2114"/>
  <c r="AD371"/>
  <c r="AC375"/>
  <c r="AC1880"/>
  <c r="AC2121"/>
  <c r="AC2134"/>
  <c r="AC2141"/>
  <c r="AD1701"/>
  <c r="AD2228"/>
  <c r="AD2250" s="1"/>
  <c r="AC2250"/>
  <c r="AD1326"/>
  <c r="AC1348"/>
  <c r="AC137"/>
  <c r="AD2197"/>
  <c r="Z2197" s="1"/>
  <c r="AD2196"/>
  <c r="AD2195"/>
  <c r="AD2194"/>
  <c r="AD2224" s="1"/>
  <c r="AD1899"/>
  <c r="AC1901"/>
  <c r="AD357"/>
  <c r="AD169"/>
  <c r="Z169" s="1"/>
  <c r="AD175"/>
  <c r="Z175" s="1"/>
  <c r="AD194"/>
  <c r="Z194" s="1"/>
  <c r="AD200"/>
  <c r="Z200" s="1"/>
  <c r="AD211"/>
  <c r="Z211" s="1"/>
  <c r="AD217"/>
  <c r="Z217" s="1"/>
  <c r="AD223"/>
  <c r="Z223" s="1"/>
  <c r="AD230"/>
  <c r="Z230" s="1"/>
  <c r="AD241"/>
  <c r="Z241" s="1"/>
  <c r="AD248"/>
  <c r="Z248" s="1"/>
  <c r="AD278"/>
  <c r="Z278" s="1"/>
  <c r="AD279"/>
  <c r="Z279" s="1"/>
  <c r="AD314"/>
  <c r="Z314" s="1"/>
  <c r="AD315"/>
  <c r="Z315" s="1"/>
  <c r="AD328"/>
  <c r="Z328" s="1"/>
  <c r="AD360"/>
  <c r="Z360" s="1"/>
  <c r="AD366"/>
  <c r="Z366" s="1"/>
  <c r="AD379"/>
  <c r="Z379" s="1"/>
  <c r="AD384"/>
  <c r="Z384" s="1"/>
  <c r="AD391"/>
  <c r="Z391" s="1"/>
  <c r="AD392"/>
  <c r="Z392" s="1"/>
  <c r="AD396"/>
  <c r="Z396" s="1"/>
  <c r="AD403"/>
  <c r="Z403" s="1"/>
  <c r="AD408"/>
  <c r="Z408" s="1"/>
  <c r="AD413"/>
  <c r="Z413" s="1"/>
  <c r="AD415"/>
  <c r="Z415" s="1"/>
  <c r="AD416"/>
  <c r="Z416" s="1"/>
  <c r="AD433"/>
  <c r="Z433" s="1"/>
  <c r="AD434"/>
  <c r="Z434" s="1"/>
  <c r="AD439"/>
  <c r="Z439" s="1"/>
  <c r="AD445"/>
  <c r="Z445" s="1"/>
  <c r="AD446"/>
  <c r="Z446" s="1"/>
  <c r="AD461"/>
  <c r="Z461" s="1"/>
  <c r="AD480"/>
  <c r="Z480" s="1"/>
  <c r="AD481"/>
  <c r="Z481" s="1"/>
  <c r="AD487"/>
  <c r="Z487" s="1"/>
  <c r="AD493"/>
  <c r="Z493" s="1"/>
  <c r="AD511"/>
  <c r="Z511" s="1"/>
  <c r="AD513"/>
  <c r="Z513" s="1"/>
  <c r="AD518"/>
  <c r="Z518" s="1"/>
  <c r="AD550"/>
  <c r="Z550" s="1"/>
  <c r="AD565"/>
  <c r="Z565" s="1"/>
  <c r="AD572"/>
  <c r="Z572" s="1"/>
  <c r="AD576"/>
  <c r="Z576" s="1"/>
  <c r="AD593"/>
  <c r="Z593" s="1"/>
  <c r="AD604"/>
  <c r="Z604" s="1"/>
  <c r="AD605"/>
  <c r="Z605" s="1"/>
  <c r="AD623"/>
  <c r="Z623" s="1"/>
  <c r="AD631"/>
  <c r="Z631" s="1"/>
  <c r="AD836"/>
  <c r="Z836" s="1"/>
  <c r="AD855"/>
  <c r="Z855" s="1"/>
  <c r="AD857"/>
  <c r="Z857" s="1"/>
  <c r="AD858"/>
  <c r="Z858" s="1"/>
  <c r="AD875"/>
  <c r="Z875" s="1"/>
  <c r="AD877"/>
  <c r="Z877" s="1"/>
  <c r="AC889"/>
  <c r="AD882"/>
  <c r="AD883"/>
  <c r="Z883" s="1"/>
  <c r="AD885"/>
  <c r="Z885" s="1"/>
  <c r="AD886"/>
  <c r="Z886" s="1"/>
  <c r="AD903"/>
  <c r="Z903" s="1"/>
  <c r="AD923"/>
  <c r="Z923" s="1"/>
  <c r="AD953"/>
  <c r="Z953" s="1"/>
  <c r="AD998"/>
  <c r="Z998" s="1"/>
  <c r="AD168"/>
  <c r="Z168" s="1"/>
  <c r="AD170"/>
  <c r="AD176"/>
  <c r="Z176" s="1"/>
  <c r="AD199"/>
  <c r="Z199" s="1"/>
  <c r="AD207"/>
  <c r="Z207" s="1"/>
  <c r="AD212"/>
  <c r="Z212" s="1"/>
  <c r="AD218"/>
  <c r="Z218" s="1"/>
  <c r="AD235"/>
  <c r="Z235" s="1"/>
  <c r="AD242"/>
  <c r="Z242" s="1"/>
  <c r="AD249"/>
  <c r="Z249" s="1"/>
  <c r="AD253"/>
  <c r="Z253" s="1"/>
  <c r="AD273"/>
  <c r="Z273" s="1"/>
  <c r="AD274"/>
  <c r="Z274" s="1"/>
  <c r="AD280"/>
  <c r="Z280" s="1"/>
  <c r="AD290"/>
  <c r="Z290" s="1"/>
  <c r="AD291"/>
  <c r="Z291" s="1"/>
  <c r="AC342"/>
  <c r="AD338"/>
  <c r="AD340"/>
  <c r="Z340" s="1"/>
  <c r="AD349"/>
  <c r="Z349" s="1"/>
  <c r="AD364"/>
  <c r="AD365"/>
  <c r="Z365" s="1"/>
  <c r="AD372"/>
  <c r="Z372" s="1"/>
  <c r="AD373"/>
  <c r="Z373" s="1"/>
  <c r="AC380"/>
  <c r="AD377"/>
  <c r="AD383"/>
  <c r="Z383" s="1"/>
  <c r="AD385"/>
  <c r="Z385" s="1"/>
  <c r="AD386"/>
  <c r="Z386" s="1"/>
  <c r="AD407"/>
  <c r="Z407" s="1"/>
  <c r="AD414"/>
  <c r="Z414" s="1"/>
  <c r="AD427"/>
  <c r="Z427" s="1"/>
  <c r="AD432"/>
  <c r="Z432" s="1"/>
  <c r="AD438"/>
  <c r="Z438" s="1"/>
  <c r="AD450"/>
  <c r="Z450" s="1"/>
  <c r="AD462"/>
  <c r="Z462" s="1"/>
  <c r="AD474"/>
  <c r="Z474" s="1"/>
  <c r="AD479"/>
  <c r="Z479" s="1"/>
  <c r="AD486"/>
  <c r="Z486" s="1"/>
  <c r="AD491"/>
  <c r="Z491" s="1"/>
  <c r="AD492"/>
  <c r="Z492" s="1"/>
  <c r="AD512"/>
  <c r="Z512" s="1"/>
  <c r="AD517"/>
  <c r="Z517" s="1"/>
  <c r="AD541"/>
  <c r="Z541" s="1"/>
  <c r="AD545"/>
  <c r="Z545" s="1"/>
  <c r="AD564"/>
  <c r="Z564" s="1"/>
  <c r="AD577"/>
  <c r="Z577" s="1"/>
  <c r="AD579"/>
  <c r="Z579" s="1"/>
  <c r="AD580"/>
  <c r="Z580" s="1"/>
  <c r="AD598"/>
  <c r="Z598" s="1"/>
  <c r="AD599"/>
  <c r="Z599" s="1"/>
  <c r="AD603"/>
  <c r="Z603" s="1"/>
  <c r="AD622"/>
  <c r="Z622" s="1"/>
  <c r="AD624"/>
  <c r="Z624" s="1"/>
  <c r="AD647"/>
  <c r="Z647" s="1"/>
  <c r="AD834"/>
  <c r="AD835"/>
  <c r="AD837"/>
  <c r="AD838"/>
  <c r="AD854"/>
  <c r="Z854" s="1"/>
  <c r="AD856"/>
  <c r="Z856" s="1"/>
  <c r="AD863"/>
  <c r="AD871" s="1"/>
  <c r="AD874"/>
  <c r="Z874" s="1"/>
  <c r="AD876"/>
  <c r="Z876" s="1"/>
  <c r="AD884"/>
  <c r="Z884" s="1"/>
  <c r="AD902"/>
  <c r="Z902" s="1"/>
  <c r="AD904"/>
  <c r="Z904" s="1"/>
  <c r="AD905"/>
  <c r="Z905" s="1"/>
  <c r="AD906"/>
  <c r="Z906" s="1"/>
  <c r="AD924"/>
  <c r="Z924" s="1"/>
  <c r="AC959"/>
  <c r="AD951"/>
  <c r="AD952"/>
  <c r="Z952" s="1"/>
  <c r="AD954"/>
  <c r="Z954" s="1"/>
  <c r="AD955"/>
  <c r="Z955" s="1"/>
  <c r="AD956"/>
  <c r="Z956" s="1"/>
  <c r="AD972"/>
  <c r="Z972" s="1"/>
  <c r="AD973"/>
  <c r="Z973" s="1"/>
  <c r="AD974"/>
  <c r="Z974" s="1"/>
  <c r="AD975"/>
  <c r="Z975" s="1"/>
  <c r="AD976"/>
  <c r="Z976" s="1"/>
  <c r="AD977"/>
  <c r="Z977" s="1"/>
  <c r="AD978"/>
  <c r="Z978" s="1"/>
  <c r="AD992"/>
  <c r="Z992" s="1"/>
  <c r="AD993"/>
  <c r="Z993" s="1"/>
  <c r="AD994"/>
  <c r="Z994" s="1"/>
  <c r="AD995"/>
  <c r="Z995" s="1"/>
  <c r="AD996"/>
  <c r="Z996" s="1"/>
  <c r="AD997"/>
  <c r="Z997" s="1"/>
  <c r="AD1012"/>
  <c r="Z1012" s="1"/>
  <c r="AD1013"/>
  <c r="Z1013" s="1"/>
  <c r="AD1014"/>
  <c r="Z1014" s="1"/>
  <c r="AD1015"/>
  <c r="Z1015" s="1"/>
  <c r="AD1016"/>
  <c r="Z1016" s="1"/>
  <c r="AD1029"/>
  <c r="AD1037"/>
  <c r="AD1048"/>
  <c r="AD1050"/>
  <c r="AD1097"/>
  <c r="AD1110"/>
  <c r="AD1118"/>
  <c r="AD1132"/>
  <c r="AD1138"/>
  <c r="AD1181"/>
  <c r="AD573"/>
  <c r="AD1739"/>
  <c r="AD1887"/>
  <c r="AD1905"/>
  <c r="AD1974"/>
  <c r="AD1978"/>
  <c r="AD1997"/>
  <c r="AD2020"/>
  <c r="Y2034"/>
  <c r="Y2035"/>
  <c r="Y2036"/>
  <c r="Y2037"/>
  <c r="AD2048"/>
  <c r="AD2077"/>
  <c r="Z2077" s="1"/>
  <c r="AD2078"/>
  <c r="Z2078" s="1"/>
  <c r="AD2084"/>
  <c r="Z2084" s="1"/>
  <c r="AD2085"/>
  <c r="Z2085" s="1"/>
  <c r="AD2086"/>
  <c r="Z2086" s="1"/>
  <c r="AD2096"/>
  <c r="AD2101" s="1"/>
  <c r="AD2136"/>
  <c r="AD2137"/>
  <c r="AD2138"/>
  <c r="AD2145"/>
  <c r="Z2145" s="1"/>
  <c r="AD19"/>
  <c r="AD22"/>
  <c r="AD25"/>
  <c r="AD35"/>
  <c r="AD38"/>
  <c r="AD40"/>
  <c r="AD42"/>
  <c r="AD44"/>
  <c r="AD46"/>
  <c r="AD50"/>
  <c r="AD52"/>
  <c r="AD54"/>
  <c r="AD58"/>
  <c r="AD69"/>
  <c r="AD71"/>
  <c r="AD73"/>
  <c r="AD75"/>
  <c r="AD78"/>
  <c r="AD91"/>
  <c r="AD94"/>
  <c r="AD96"/>
  <c r="AD98"/>
  <c r="AD109"/>
  <c r="AD113"/>
  <c r="AD116"/>
  <c r="AD120"/>
  <c r="AD123"/>
  <c r="AD125"/>
  <c r="AD127"/>
  <c r="AD131"/>
  <c r="AD133"/>
  <c r="Y2148"/>
  <c r="AD1193"/>
  <c r="AD1202"/>
  <c r="AD1205"/>
  <c r="AD1207"/>
  <c r="AD1395"/>
  <c r="AD1418"/>
  <c r="AD1506"/>
  <c r="AD1508"/>
  <c r="AD1510"/>
  <c r="AD1512"/>
  <c r="AD1514"/>
  <c r="AD1518"/>
  <c r="AD1521"/>
  <c r="AD1523"/>
  <c r="AD1525"/>
  <c r="AD1529"/>
  <c r="AD1531"/>
  <c r="AD1537"/>
  <c r="AD1539"/>
  <c r="AD1541"/>
  <c r="AD1544"/>
  <c r="AD1563"/>
  <c r="AD1567"/>
  <c r="AD1571"/>
  <c r="AD1583"/>
  <c r="AD181"/>
  <c r="Z181" s="1"/>
  <c r="AD182"/>
  <c r="Z182" s="1"/>
  <c r="AD183"/>
  <c r="Z183" s="1"/>
  <c r="AC190"/>
  <c r="AD186"/>
  <c r="Z186" s="1"/>
  <c r="Z190" s="1"/>
  <c r="AD193"/>
  <c r="Z193" s="1"/>
  <c r="AD205"/>
  <c r="Z205" s="1"/>
  <c r="AD213"/>
  <c r="Z213" s="1"/>
  <c r="AD219"/>
  <c r="Z219" s="1"/>
  <c r="AD224"/>
  <c r="Z224" s="1"/>
  <c r="AD225"/>
  <c r="Z225" s="1"/>
  <c r="AD231"/>
  <c r="Z231" s="1"/>
  <c r="AD236"/>
  <c r="Z236" s="1"/>
  <c r="AD237"/>
  <c r="Z237" s="1"/>
  <c r="AD243"/>
  <c r="Z243" s="1"/>
  <c r="AD266"/>
  <c r="Z266" s="1"/>
  <c r="AD268"/>
  <c r="Z268" s="1"/>
  <c r="AD303"/>
  <c r="Z303" s="1"/>
  <c r="AD304"/>
  <c r="Z304" s="1"/>
  <c r="AC325"/>
  <c r="AD323"/>
  <c r="AD333"/>
  <c r="Z333" s="1"/>
  <c r="AD334"/>
  <c r="Z334" s="1"/>
  <c r="AD339"/>
  <c r="Z339" s="1"/>
  <c r="AD378"/>
  <c r="Z378" s="1"/>
  <c r="AD390"/>
  <c r="Z390" s="1"/>
  <c r="AD397"/>
  <c r="Z397" s="1"/>
  <c r="AD398"/>
  <c r="Z398" s="1"/>
  <c r="AD444"/>
  <c r="Z444" s="1"/>
  <c r="AD451"/>
  <c r="Z451" s="1"/>
  <c r="AD452"/>
  <c r="Z452" s="1"/>
  <c r="AD456"/>
  <c r="Z456" s="1"/>
  <c r="AD457"/>
  <c r="Z457" s="1"/>
  <c r="AD463"/>
  <c r="Z463" s="1"/>
  <c r="AD475"/>
  <c r="Z475" s="1"/>
  <c r="AD485"/>
  <c r="Z485" s="1"/>
  <c r="AD497"/>
  <c r="Z497" s="1"/>
  <c r="AD498"/>
  <c r="Z498" s="1"/>
  <c r="AD499"/>
  <c r="Z499" s="1"/>
  <c r="AD503"/>
  <c r="Z503" s="1"/>
  <c r="AD504"/>
  <c r="Z504" s="1"/>
  <c r="AD505"/>
  <c r="Z505" s="1"/>
  <c r="AD506"/>
  <c r="Z506" s="1"/>
  <c r="AD510"/>
  <c r="Z510" s="1"/>
  <c r="AD523"/>
  <c r="Z523" s="1"/>
  <c r="AD524"/>
  <c r="Z524" s="1"/>
  <c r="AD528"/>
  <c r="Z528" s="1"/>
  <c r="AD529"/>
  <c r="Z529" s="1"/>
  <c r="AD533"/>
  <c r="Z533" s="1"/>
  <c r="AD534"/>
  <c r="Z534" s="1"/>
  <c r="AD539"/>
  <c r="Z539" s="1"/>
  <c r="AD540"/>
  <c r="Z540" s="1"/>
  <c r="AD546"/>
  <c r="Z546" s="1"/>
  <c r="AC552"/>
  <c r="AD549"/>
  <c r="AC559"/>
  <c r="AD554"/>
  <c r="AD555"/>
  <c r="Z555" s="1"/>
  <c r="AD556"/>
  <c r="Z556" s="1"/>
  <c r="AD584"/>
  <c r="Z584" s="1"/>
  <c r="AD585"/>
  <c r="Z585" s="1"/>
  <c r="AD586"/>
  <c r="Z586" s="1"/>
  <c r="AD587"/>
  <c r="Z587" s="1"/>
  <c r="AD591"/>
  <c r="Z591" s="1"/>
  <c r="AD592"/>
  <c r="Z592" s="1"/>
  <c r="AD597"/>
  <c r="Z597" s="1"/>
  <c r="AC606"/>
  <c r="AD602"/>
  <c r="AD609"/>
  <c r="Z609" s="1"/>
  <c r="AD610"/>
  <c r="Z610" s="1"/>
  <c r="AD611"/>
  <c r="Z611" s="1"/>
  <c r="AD615"/>
  <c r="Z615" s="1"/>
  <c r="AD616"/>
  <c r="Z616" s="1"/>
  <c r="AD617"/>
  <c r="Z617" s="1"/>
  <c r="AD625"/>
  <c r="Z625" s="1"/>
  <c r="AD630"/>
  <c r="Z630" s="1"/>
  <c r="AD635"/>
  <c r="Z635" s="1"/>
  <c r="AD636"/>
  <c r="Z636" s="1"/>
  <c r="AD637"/>
  <c r="Z637" s="1"/>
  <c r="AD641"/>
  <c r="Z641" s="1"/>
  <c r="AD642"/>
  <c r="Z642" s="1"/>
  <c r="AD643"/>
  <c r="Z643" s="1"/>
  <c r="AD648"/>
  <c r="Z648" s="1"/>
  <c r="AD649"/>
  <c r="Z649" s="1"/>
  <c r="AD663"/>
  <c r="AD667" s="1"/>
  <c r="AC667"/>
  <c r="AD804"/>
  <c r="Z804" s="1"/>
  <c r="AD814"/>
  <c r="Z814" s="1"/>
  <c r="AD815"/>
  <c r="Z815" s="1"/>
  <c r="AD816"/>
  <c r="Z816" s="1"/>
  <c r="AD817"/>
  <c r="Z817" s="1"/>
  <c r="AD818"/>
  <c r="Z818" s="1"/>
  <c r="AD892"/>
  <c r="Z892" s="1"/>
  <c r="AD893"/>
  <c r="Z893" s="1"/>
  <c r="AD894"/>
  <c r="Z894" s="1"/>
  <c r="AD895"/>
  <c r="Z895" s="1"/>
  <c r="AD896"/>
  <c r="Z896" s="1"/>
  <c r="AD912"/>
  <c r="Z912" s="1"/>
  <c r="AD913"/>
  <c r="Z913" s="1"/>
  <c r="AD914"/>
  <c r="Z914" s="1"/>
  <c r="AD915"/>
  <c r="Z915" s="1"/>
  <c r="AD916"/>
  <c r="Z916" s="1"/>
  <c r="AD917"/>
  <c r="Z917" s="1"/>
  <c r="AD918"/>
  <c r="Z918" s="1"/>
  <c r="AD925"/>
  <c r="Z925" s="1"/>
  <c r="AD926"/>
  <c r="AD942"/>
  <c r="Z942" s="1"/>
  <c r="AD943"/>
  <c r="Z943" s="1"/>
  <c r="AD944"/>
  <c r="Z944" s="1"/>
  <c r="AD945"/>
  <c r="Z945" s="1"/>
  <c r="AD946"/>
  <c r="Z946" s="1"/>
  <c r="AD962"/>
  <c r="Z962" s="1"/>
  <c r="AD963"/>
  <c r="Z963" s="1"/>
  <c r="AD964"/>
  <c r="Z964" s="1"/>
  <c r="AD965"/>
  <c r="Z965" s="1"/>
  <c r="AD966"/>
  <c r="Z966" s="1"/>
  <c r="AD982"/>
  <c r="Z982" s="1"/>
  <c r="AD983"/>
  <c r="Z983" s="1"/>
  <c r="AD984"/>
  <c r="Z984" s="1"/>
  <c r="AD985"/>
  <c r="Z985" s="1"/>
  <c r="AD986"/>
  <c r="Z986" s="1"/>
  <c r="AD987"/>
  <c r="Z987" s="1"/>
  <c r="AD988"/>
  <c r="Z988" s="1"/>
  <c r="AD1002"/>
  <c r="Z1002" s="1"/>
  <c r="AD1003"/>
  <c r="Z1003" s="1"/>
  <c r="AD1004"/>
  <c r="Z1004" s="1"/>
  <c r="AD1005"/>
  <c r="Z1005" s="1"/>
  <c r="AD1006"/>
  <c r="Z1006" s="1"/>
  <c r="AD1007"/>
  <c r="Z1007" s="1"/>
  <c r="AD1008"/>
  <c r="Z1008" s="1"/>
  <c r="AD1022"/>
  <c r="Z1022" s="1"/>
  <c r="AD1023"/>
  <c r="Z1023" s="1"/>
  <c r="AD1024"/>
  <c r="Z1024" s="1"/>
  <c r="AD1025"/>
  <c r="Z1025" s="1"/>
  <c r="AD1031"/>
  <c r="AD1034"/>
  <c r="AD1038"/>
  <c r="AD1049"/>
  <c r="AD1060"/>
  <c r="AD1073"/>
  <c r="AD1098"/>
  <c r="AD1102"/>
  <c r="AD1113"/>
  <c r="AD1117"/>
  <c r="AD1127"/>
  <c r="AD1131"/>
  <c r="AD1135"/>
  <c r="AD1141"/>
  <c r="AD1157"/>
  <c r="AD1159"/>
  <c r="AD1180"/>
  <c r="AD1186"/>
  <c r="AD1195"/>
  <c r="AD1204"/>
  <c r="AD1206"/>
  <c r="AD1504"/>
  <c r="AD1505"/>
  <c r="AD1507"/>
  <c r="AD1509"/>
  <c r="AD1511"/>
  <c r="AD1513"/>
  <c r="AD1520"/>
  <c r="AD1522"/>
  <c r="AD1524"/>
  <c r="AD1528"/>
  <c r="AD1530"/>
  <c r="AD1532"/>
  <c r="AD1538"/>
  <c r="AD1540"/>
  <c r="AD1543"/>
  <c r="AD1636"/>
  <c r="AD1741"/>
  <c r="AD1907"/>
  <c r="Z1907" s="1"/>
  <c r="AD1939"/>
  <c r="Z1939" s="1"/>
  <c r="AD1940"/>
  <c r="Z1940" s="1"/>
  <c r="AD1954"/>
  <c r="AD2000"/>
  <c r="Z2000" s="1"/>
  <c r="AD2009"/>
  <c r="Z2009" s="1"/>
  <c r="AD2012"/>
  <c r="Z2012" s="1"/>
  <c r="Y2040"/>
  <c r="AD2045"/>
  <c r="AD2052" s="1"/>
  <c r="AD2054"/>
  <c r="Z2054" s="1"/>
  <c r="Z2059" s="1"/>
  <c r="AD2061"/>
  <c r="AD2062"/>
  <c r="Z2062" s="1"/>
  <c r="AD2063"/>
  <c r="Z2063" s="1"/>
  <c r="AD2064"/>
  <c r="Z2064" s="1"/>
  <c r="AD2090"/>
  <c r="AD2094" s="1"/>
  <c r="AD2116"/>
  <c r="AD2121" s="1"/>
  <c r="AD2139"/>
  <c r="AC2148"/>
  <c r="AD2143"/>
  <c r="AD2179"/>
  <c r="AD2190" s="1"/>
  <c r="AC2190"/>
  <c r="AC2224"/>
  <c r="AD13"/>
  <c r="AD18"/>
  <c r="AD20"/>
  <c r="AD23"/>
  <c r="AD34"/>
  <c r="AD36"/>
  <c r="AD39"/>
  <c r="AD41"/>
  <c r="AD43"/>
  <c r="AD45"/>
  <c r="AD49"/>
  <c r="AD51"/>
  <c r="AD53"/>
  <c r="AD59"/>
  <c r="AD61"/>
  <c r="AD70"/>
  <c r="AD72"/>
  <c r="AD74"/>
  <c r="AD76"/>
  <c r="AD82"/>
  <c r="AD92"/>
  <c r="AD95"/>
  <c r="AD97"/>
  <c r="AD108"/>
  <c r="AD110"/>
  <c r="AD112"/>
  <c r="AD121"/>
  <c r="AD124"/>
  <c r="AD126"/>
  <c r="AD128"/>
  <c r="AD132"/>
  <c r="AD134"/>
  <c r="Y674"/>
  <c r="AD1460"/>
  <c r="AD1450"/>
  <c r="AC1859"/>
  <c r="AD1852"/>
  <c r="AD1859" s="1"/>
  <c r="AD1830"/>
  <c r="AD2492"/>
  <c r="AC2513"/>
  <c r="AD1196"/>
  <c r="AD1192"/>
  <c r="AD1191"/>
  <c r="AD1190"/>
  <c r="AD1189"/>
  <c r="AD1188"/>
  <c r="AC1294"/>
  <c r="AD1187"/>
  <c r="AD1160"/>
  <c r="AD1158"/>
  <c r="AD1145"/>
  <c r="AD1144"/>
  <c r="AD1143"/>
  <c r="AD1142"/>
  <c r="AD1140"/>
  <c r="AD1139"/>
  <c r="AD1137"/>
  <c r="AD1136"/>
  <c r="AD1134"/>
  <c r="AD1133"/>
  <c r="AD1130"/>
  <c r="AD1129"/>
  <c r="AD1126"/>
  <c r="AD1125"/>
  <c r="AD1124"/>
  <c r="AD1123"/>
  <c r="AD1122"/>
  <c r="AD1121"/>
  <c r="AD1120"/>
  <c r="AD1119"/>
  <c r="AD1116"/>
  <c r="AD1115"/>
  <c r="AD1114"/>
  <c r="AD1112"/>
  <c r="AD1111"/>
  <c r="AD1109"/>
  <c r="AD1108"/>
  <c r="AD1106"/>
  <c r="AD1105"/>
  <c r="AD1104"/>
  <c r="AD1103"/>
  <c r="AD1101"/>
  <c r="AD1100"/>
  <c r="AD1096"/>
  <c r="AD1094"/>
  <c r="AD1093"/>
  <c r="AD1088"/>
  <c r="AD1086"/>
  <c r="AD1087"/>
  <c r="AD1085"/>
  <c r="AD1082"/>
  <c r="AD1081"/>
  <c r="AD1080"/>
  <c r="AD1079"/>
  <c r="AD1078"/>
  <c r="AD1077"/>
  <c r="AD1076"/>
  <c r="AD1075"/>
  <c r="AD1074"/>
  <c r="AD1071"/>
  <c r="AD1070"/>
  <c r="AD1069"/>
  <c r="AD1067"/>
  <c r="AD1066"/>
  <c r="AD1065"/>
  <c r="AD1064"/>
  <c r="AD1062"/>
  <c r="AD1061"/>
  <c r="AD1059"/>
  <c r="AD1058"/>
  <c r="AD1057"/>
  <c r="AD1055"/>
  <c r="AD1054"/>
  <c r="AD1053"/>
  <c r="AD1155"/>
  <c r="AD1152"/>
  <c r="AD1151"/>
  <c r="AD1150"/>
  <c r="AD1149"/>
  <c r="AD1051"/>
  <c r="AD1047"/>
  <c r="AD1046"/>
  <c r="AD1044"/>
  <c r="AD1039"/>
  <c r="AD1036"/>
  <c r="AD1035"/>
  <c r="AD1033"/>
  <c r="AD800"/>
  <c r="Z800" s="1"/>
  <c r="AD799"/>
  <c r="Z799" s="1"/>
  <c r="AD798"/>
  <c r="Z798" s="1"/>
  <c r="AD797"/>
  <c r="Z797" s="1"/>
  <c r="AD796"/>
  <c r="Z796" s="1"/>
  <c r="AD1632"/>
  <c r="AD1623"/>
  <c r="AD1873"/>
  <c r="AD130"/>
  <c r="AD129"/>
  <c r="AD119"/>
  <c r="AD118"/>
  <c r="AD117"/>
  <c r="AD115"/>
  <c r="AD111"/>
  <c r="AD55"/>
  <c r="AD60"/>
  <c r="AD15"/>
  <c r="AD14"/>
  <c r="AD12"/>
  <c r="AD11"/>
  <c r="AD10"/>
  <c r="AD1723"/>
  <c r="AD1722"/>
  <c r="AD1720"/>
  <c r="AD1894"/>
  <c r="AD1893"/>
  <c r="AD1901" s="1"/>
  <c r="AD1590"/>
  <c r="AD1597"/>
  <c r="AD1558"/>
  <c r="AD1577"/>
  <c r="B2472"/>
  <c r="B2473" s="1"/>
  <c r="B2474" s="1"/>
  <c r="B2476" s="1"/>
  <c r="B2477" s="1"/>
  <c r="B2478" s="1"/>
  <c r="B2479" s="1"/>
  <c r="B2480" s="1"/>
  <c r="B2481" s="1"/>
  <c r="B2482" s="1"/>
  <c r="B2316"/>
  <c r="B2317" s="1"/>
  <c r="B2318" s="1"/>
  <c r="B2319" s="1"/>
  <c r="B2314"/>
  <c r="AC423"/>
  <c r="AB435"/>
  <c r="AC1392"/>
  <c r="AB2449"/>
  <c r="B2213"/>
  <c r="B2214" s="1"/>
  <c r="B2216" s="1"/>
  <c r="B2217" s="1"/>
  <c r="B2218" s="1"/>
  <c r="B2219" s="1"/>
  <c r="B2220" s="1"/>
  <c r="B2221" s="1"/>
  <c r="B2222" s="1"/>
  <c r="B2223" s="1"/>
  <c r="B2274"/>
  <c r="B2275" s="1"/>
  <c r="B2177"/>
  <c r="B2179" s="1"/>
  <c r="B2180" s="1"/>
  <c r="B2181" s="1"/>
  <c r="B2182" s="1"/>
  <c r="B2183" s="1"/>
  <c r="B2184" s="1"/>
  <c r="B2185" s="1"/>
  <c r="B2186" s="1"/>
  <c r="B2187" s="1"/>
  <c r="B2188" s="1"/>
  <c r="B2189" s="1"/>
  <c r="B1587"/>
  <c r="B1588" s="1"/>
  <c r="B1590" s="1"/>
  <c r="B1592" s="1"/>
  <c r="B1593" s="1"/>
  <c r="B1594" s="1"/>
  <c r="B1595" s="1"/>
  <c r="B1597" s="1"/>
  <c r="B1598" s="1"/>
  <c r="B1599" s="1"/>
  <c r="B1416"/>
  <c r="B1418" s="1"/>
  <c r="B1419" s="1"/>
  <c r="B1515"/>
  <c r="B1516" s="1"/>
  <c r="B1518" s="1"/>
  <c r="B1520" s="1"/>
  <c r="B1521" s="1"/>
  <c r="B1522" s="1"/>
  <c r="B1523" s="1"/>
  <c r="B1524" s="1"/>
  <c r="B1525" s="1"/>
  <c r="B1526" s="1"/>
  <c r="B1528" s="1"/>
  <c r="B1529" s="1"/>
  <c r="B1530" s="1"/>
  <c r="B1531" s="1"/>
  <c r="B1532" s="1"/>
  <c r="B1533" s="1"/>
  <c r="B1534" s="1"/>
  <c r="B1535" s="1"/>
  <c r="B1537" s="1"/>
  <c r="B1538" s="1"/>
  <c r="B1539" s="1"/>
  <c r="B1540" s="1"/>
  <c r="B1541" s="1"/>
  <c r="B1543" s="1"/>
  <c r="B1544" s="1"/>
  <c r="AC1501"/>
  <c r="AB477"/>
  <c r="AB507"/>
  <c r="AC547"/>
  <c r="B703"/>
  <c r="B705" s="1"/>
  <c r="B706" s="1"/>
  <c r="B707" s="1"/>
  <c r="B708" s="1"/>
  <c r="B709" s="1"/>
  <c r="Y306"/>
  <c r="B93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47"/>
  <c r="B21"/>
  <c r="B22" s="1"/>
  <c r="B23" s="1"/>
  <c r="B24" s="1"/>
  <c r="B25" s="1"/>
  <c r="B26" s="1"/>
  <c r="B27" s="1"/>
  <c r="B28" s="1"/>
  <c r="B29" s="1"/>
  <c r="B30" s="1"/>
  <c r="B31" s="1"/>
  <c r="B32" s="1"/>
  <c r="Y1706"/>
  <c r="Y1707"/>
  <c r="Y1708"/>
  <c r="Y1709"/>
  <c r="Y1710"/>
  <c r="Y1711"/>
  <c r="Y447"/>
  <c r="AD1702"/>
  <c r="Y356"/>
  <c r="B1039"/>
  <c r="B1044" s="1"/>
  <c r="B1046" s="1"/>
  <c r="B1047" s="1"/>
  <c r="B1048" s="1"/>
  <c r="B1049" s="1"/>
  <c r="B1050" s="1"/>
  <c r="B1051" s="1"/>
  <c r="B1053" s="1"/>
  <c r="B1302"/>
  <c r="B1304" s="1"/>
  <c r="B1305" s="1"/>
  <c r="B1306" s="1"/>
  <c r="B1307" s="1"/>
  <c r="B1308" s="1"/>
  <c r="B1309" s="1"/>
  <c r="B1310" s="1"/>
  <c r="B1311" s="1"/>
  <c r="B1313" s="1"/>
  <c r="B1314" s="1"/>
  <c r="B1315" s="1"/>
  <c r="B1316" s="1"/>
  <c r="B1317" s="1"/>
  <c r="B1318" s="1"/>
  <c r="B1319" s="1"/>
  <c r="B1320" s="1"/>
  <c r="B1321" s="1"/>
  <c r="B1322" s="1"/>
  <c r="B1323" s="1"/>
  <c r="B1325" s="1"/>
  <c r="B1326" s="1"/>
  <c r="B1327" s="1"/>
  <c r="B1328" s="1"/>
  <c r="B1329" s="1"/>
  <c r="B1330" s="1"/>
  <c r="B1331" s="1"/>
  <c r="B1332" s="1"/>
  <c r="B1333" s="1"/>
  <c r="B1334" s="1"/>
  <c r="B1335" s="1"/>
  <c r="B1336" s="1"/>
  <c r="AD1299"/>
  <c r="B1363"/>
  <c r="B1364" s="1"/>
  <c r="B1365" s="1"/>
  <c r="B1366" s="1"/>
  <c r="B1367" s="1"/>
  <c r="B1368" s="1"/>
  <c r="B1369" s="1"/>
  <c r="AD1356"/>
  <c r="Y1505"/>
  <c r="Y1510"/>
  <c r="AD1729"/>
  <c r="AD1730"/>
  <c r="Z2068"/>
  <c r="Z2069"/>
  <c r="Z2070"/>
  <c r="Y2099"/>
  <c r="AD2312"/>
  <c r="AD2331"/>
  <c r="AD2444"/>
  <c r="Y2207"/>
  <c r="Y864"/>
  <c r="Y865"/>
  <c r="Y866"/>
  <c r="Y867"/>
  <c r="Y868"/>
  <c r="AD1377"/>
  <c r="AD1390"/>
  <c r="AD1473"/>
  <c r="Y1518"/>
  <c r="Y1528"/>
  <c r="Y1529"/>
  <c r="Y1530"/>
  <c r="Y1539"/>
  <c r="Y1541"/>
  <c r="AD1649"/>
  <c r="B1666"/>
  <c r="B1668" s="1"/>
  <c r="B1669" s="1"/>
  <c r="B1670" s="1"/>
  <c r="B1671" s="1"/>
  <c r="B1672" s="1"/>
  <c r="AD1678"/>
  <c r="Y1721"/>
  <c r="Y1722"/>
  <c r="AD1756"/>
  <c r="AD1758"/>
  <c r="AD1760"/>
  <c r="AD1862"/>
  <c r="AD1868"/>
  <c r="Z2071"/>
  <c r="Y2091"/>
  <c r="AD2129"/>
  <c r="AD2134" s="1"/>
  <c r="AD2370"/>
  <c r="AC2449"/>
  <c r="AD2457"/>
  <c r="AD2461"/>
  <c r="AD2465"/>
  <c r="AD2503"/>
  <c r="Y488"/>
  <c r="Y1922"/>
  <c r="B1690"/>
  <c r="B1692" s="1"/>
  <c r="AD1698"/>
  <c r="AD1697"/>
  <c r="AD1696"/>
  <c r="AD1695"/>
  <c r="AD1694"/>
  <c r="AD2318"/>
  <c r="AD2298"/>
  <c r="AD2328"/>
  <c r="AD1731"/>
  <c r="Y2246"/>
  <c r="Y2242"/>
  <c r="Y2240"/>
  <c r="Y2236"/>
  <c r="Y2235"/>
  <c r="Y2230"/>
  <c r="Y2229"/>
  <c r="Y2227"/>
  <c r="Y2228"/>
  <c r="B1379"/>
  <c r="B1380" s="1"/>
  <c r="B1382" s="1"/>
  <c r="B1383" s="1"/>
  <c r="B1384" s="1"/>
  <c r="B1385" s="1"/>
  <c r="B1386" s="1"/>
  <c r="B1387" s="1"/>
  <c r="B1388" s="1"/>
  <c r="B1389" s="1"/>
  <c r="B1390" s="1"/>
  <c r="B1391" s="1"/>
  <c r="AD1384"/>
  <c r="AD1352"/>
  <c r="AD1351"/>
  <c r="AD2426"/>
  <c r="AD2449" s="1"/>
  <c r="AC1673"/>
  <c r="AD1650"/>
  <c r="AD1670"/>
  <c r="AD1668"/>
  <c r="AD1339"/>
  <c r="AD1307"/>
  <c r="Z1618"/>
  <c r="AD1929"/>
  <c r="AD1934" s="1"/>
  <c r="AD1481"/>
  <c r="Y1717"/>
  <c r="Y1676"/>
  <c r="Y355"/>
  <c r="AC2400"/>
  <c r="Y2131"/>
  <c r="Z830"/>
  <c r="Z829"/>
  <c r="Y2152"/>
  <c r="Y354"/>
  <c r="Y1723"/>
  <c r="Y1720"/>
  <c r="Z1676"/>
  <c r="Z828"/>
  <c r="Z827"/>
  <c r="Z826"/>
  <c r="Z825"/>
  <c r="Z824"/>
  <c r="AC1830"/>
  <c r="Y931"/>
  <c r="Y939" s="1"/>
  <c r="Y2151"/>
  <c r="Y1911"/>
  <c r="Y2098"/>
  <c r="Y2096"/>
  <c r="Y2132"/>
  <c r="Y2129"/>
  <c r="Y2130"/>
  <c r="Y2092"/>
  <c r="Y2090"/>
  <c r="Y2245"/>
  <c r="Y2247"/>
  <c r="Y2244"/>
  <c r="Y2243"/>
  <c r="Y2248"/>
  <c r="Y2241"/>
  <c r="Y2234"/>
  <c r="Y2233"/>
  <c r="Y2232"/>
  <c r="Y2150"/>
  <c r="Y2071"/>
  <c r="Y2070"/>
  <c r="Y2069"/>
  <c r="Y2068"/>
  <c r="Y1532"/>
  <c r="Y1512"/>
  <c r="Z933"/>
  <c r="Z934"/>
  <c r="Z935"/>
  <c r="AB214"/>
  <c r="Y308"/>
  <c r="Y309"/>
  <c r="Y310"/>
  <c r="Z932"/>
  <c r="H2514"/>
  <c r="AB250"/>
  <c r="AB362"/>
  <c r="Y1853"/>
  <c r="Y2114"/>
  <c r="AC520"/>
  <c r="AC638"/>
  <c r="AB861"/>
  <c r="Y1905"/>
  <c r="Y2222"/>
  <c r="J793"/>
  <c r="J2514" s="1"/>
  <c r="AD1403"/>
  <c r="Y1473"/>
  <c r="Y1474"/>
  <c r="Y1483"/>
  <c r="Y1484"/>
  <c r="Y1485"/>
  <c r="AD1845"/>
  <c r="AC2261"/>
  <c r="AD2261" s="1"/>
  <c r="AC2266"/>
  <c r="AC2283"/>
  <c r="AD2283" s="1"/>
  <c r="AC178"/>
  <c r="AB202"/>
  <c r="AC232"/>
  <c r="AC244"/>
  <c r="AC311"/>
  <c r="AB330"/>
  <c r="AB336"/>
  <c r="AC387"/>
  <c r="AC399"/>
  <c r="AB500"/>
  <c r="AB514"/>
  <c r="AB520"/>
  <c r="AB530"/>
  <c r="AC588"/>
  <c r="AB612"/>
  <c r="AC644"/>
  <c r="AB880"/>
  <c r="AB909"/>
  <c r="AB939"/>
  <c r="AC979"/>
  <c r="AC999"/>
  <c r="AC1009"/>
  <c r="AC1019"/>
  <c r="Y1475"/>
  <c r="Y1486"/>
  <c r="Y1999"/>
  <c r="Y2047"/>
  <c r="AC2088"/>
  <c r="AC2154"/>
  <c r="Y2203"/>
  <c r="Y2218"/>
  <c r="AB482"/>
  <c r="Y479"/>
  <c r="Y482" s="1"/>
  <c r="AD1396"/>
  <c r="AD1397"/>
  <c r="AD1398"/>
  <c r="AD1399"/>
  <c r="AD1400"/>
  <c r="Y1476"/>
  <c r="Y1477"/>
  <c r="Y1481"/>
  <c r="Z1481"/>
  <c r="Y1487"/>
  <c r="AC1600"/>
  <c r="AB1845"/>
  <c r="AC2260"/>
  <c r="AD2260" s="1"/>
  <c r="AC2262"/>
  <c r="AD2262" s="1"/>
  <c r="AC2269"/>
  <c r="AD2269" s="1"/>
  <c r="AC2271"/>
  <c r="AD2271" s="1"/>
  <c r="AC2273"/>
  <c r="AD2273" s="1"/>
  <c r="AC2277"/>
  <c r="AD2277" s="1"/>
  <c r="AC2279"/>
  <c r="AD2279" s="1"/>
  <c r="AC2284"/>
  <c r="AD2284" s="1"/>
  <c r="AC2293"/>
  <c r="AD2293" s="1"/>
  <c r="AB281"/>
  <c r="AB453"/>
  <c r="Y1652"/>
  <c r="Z1668"/>
  <c r="Y1865"/>
  <c r="Y410"/>
  <c r="B787"/>
  <c r="B789" s="1"/>
  <c r="B791" s="1"/>
  <c r="B792" s="1"/>
  <c r="AD1437"/>
  <c r="AC1646"/>
  <c r="Y1651"/>
  <c r="Z1655"/>
  <c r="Y1658"/>
  <c r="Y1659"/>
  <c r="Y1660"/>
  <c r="Y1661"/>
  <c r="Y1662"/>
  <c r="Y1663"/>
  <c r="Y1664"/>
  <c r="Y1665"/>
  <c r="Y1668"/>
  <c r="Y1671"/>
  <c r="AD1757"/>
  <c r="Y1854"/>
  <c r="Y1858"/>
  <c r="Y1863"/>
  <c r="Y1868"/>
  <c r="AC1890"/>
  <c r="Y1908"/>
  <c r="AB1959"/>
  <c r="Y1953"/>
  <c r="Y1954"/>
  <c r="Z1956"/>
  <c r="Y1958"/>
  <c r="Y1967"/>
  <c r="Y1970" s="1"/>
  <c r="Z1969"/>
  <c r="Y1974"/>
  <c r="Y2048"/>
  <c r="Y2194"/>
  <c r="Y2196"/>
  <c r="Y2200"/>
  <c r="Y2204"/>
  <c r="Y2208"/>
  <c r="Y2219"/>
  <c r="AD330"/>
  <c r="Y404"/>
  <c r="Y525"/>
  <c r="AB552"/>
  <c r="Y644"/>
  <c r="Y929"/>
  <c r="AB1804"/>
  <c r="Z1845"/>
  <c r="Y1855"/>
  <c r="Y1864"/>
  <c r="Y1906"/>
  <c r="Y1909"/>
  <c r="Y1917"/>
  <c r="Y1918"/>
  <c r="Y1998"/>
  <c r="Y2003"/>
  <c r="Y2046"/>
  <c r="Y2193"/>
  <c r="Y2201"/>
  <c r="Y2205"/>
  <c r="Y2216"/>
  <c r="Y2220"/>
  <c r="AC1946"/>
  <c r="AB2016"/>
  <c r="AC1993"/>
  <c r="AB1993"/>
  <c r="Y1653"/>
  <c r="Y1654"/>
  <c r="Y1655"/>
  <c r="Y1657"/>
  <c r="Z1665"/>
  <c r="Y1669"/>
  <c r="Y1670"/>
  <c r="AD1759"/>
  <c r="Y1856"/>
  <c r="Y1887"/>
  <c r="Z1887"/>
  <c r="Y1907"/>
  <c r="Y1919"/>
  <c r="AC1934"/>
  <c r="Z1952"/>
  <c r="Y1955"/>
  <c r="Y1956"/>
  <c r="Z1967"/>
  <c r="Y1975"/>
  <c r="Y1976"/>
  <c r="Y1977"/>
  <c r="Y1980"/>
  <c r="Y2051"/>
  <c r="Y2195"/>
  <c r="Z2195"/>
  <c r="Y2197"/>
  <c r="Y2202"/>
  <c r="Y2206"/>
  <c r="Y2217"/>
  <c r="Y2221"/>
  <c r="Z1949"/>
  <c r="Y275"/>
  <c r="Y283"/>
  <c r="Y287" s="1"/>
  <c r="Y317"/>
  <c r="AB160"/>
  <c r="AB184"/>
  <c r="AB190"/>
  <c r="AB196"/>
  <c r="AC220"/>
  <c r="AC270"/>
  <c r="AC275"/>
  <c r="AC281"/>
  <c r="AB311"/>
  <c r="AC317"/>
  <c r="Y319"/>
  <c r="Y320" s="1"/>
  <c r="AB325"/>
  <c r="AD325"/>
  <c r="AC330"/>
  <c r="AC357"/>
  <c r="AB399"/>
  <c r="AC417"/>
  <c r="AB441"/>
  <c r="AC453"/>
  <c r="AB458"/>
  <c r="AC471"/>
  <c r="AC494"/>
  <c r="Y520"/>
  <c r="AC525"/>
  <c r="AB536"/>
  <c r="AB542"/>
  <c r="AB547"/>
  <c r="AB567"/>
  <c r="AC594"/>
  <c r="AB606"/>
  <c r="AC626"/>
  <c r="AB632"/>
  <c r="AB644"/>
  <c r="Y651"/>
  <c r="Y801"/>
  <c r="AB811"/>
  <c r="AC811"/>
  <c r="AC831"/>
  <c r="AB841"/>
  <c r="AB899"/>
  <c r="AB919"/>
  <c r="AC929"/>
  <c r="AC949"/>
  <c r="AC969"/>
  <c r="AB989"/>
  <c r="Z981"/>
  <c r="AB1009"/>
  <c r="Z1001"/>
  <c r="AC1026"/>
  <c r="AC1545"/>
  <c r="AD1618"/>
  <c r="Y1650"/>
  <c r="AC2016"/>
  <c r="AB1946"/>
  <c r="AC1959"/>
  <c r="Y1952"/>
  <c r="Y1649"/>
  <c r="Y226"/>
  <c r="Y238"/>
  <c r="Y244"/>
  <c r="Y393"/>
  <c r="AD410"/>
  <c r="Y494"/>
  <c r="Y559"/>
  <c r="Y588"/>
  <c r="Y600"/>
  <c r="AD530"/>
  <c r="AD542"/>
  <c r="AC573"/>
  <c r="Y594"/>
  <c r="AB626"/>
  <c r="Y638"/>
  <c r="Y821"/>
  <c r="AD142"/>
  <c r="Y196"/>
  <c r="AC202"/>
  <c r="Y208"/>
  <c r="AB208"/>
  <c r="Y220"/>
  <c r="Y232"/>
  <c r="AC256"/>
  <c r="Y293"/>
  <c r="Y387"/>
  <c r="AB404"/>
  <c r="AC410"/>
  <c r="Y417"/>
  <c r="AB423"/>
  <c r="AD441"/>
  <c r="AC142"/>
  <c r="AB142"/>
  <c r="AB148"/>
  <c r="AB178"/>
  <c r="Y186"/>
  <c r="Y190" s="1"/>
  <c r="Y198"/>
  <c r="Y202" s="1"/>
  <c r="Y210"/>
  <c r="Y214" s="1"/>
  <c r="AB220"/>
  <c r="AC226"/>
  <c r="AB226"/>
  <c r="AB232"/>
  <c r="AC238"/>
  <c r="AB238"/>
  <c r="AB244"/>
  <c r="Y246"/>
  <c r="Y250" s="1"/>
  <c r="AC250"/>
  <c r="AB275"/>
  <c r="Y278"/>
  <c r="Y281" s="1"/>
  <c r="AB293"/>
  <c r="AC293"/>
  <c r="AB306"/>
  <c r="AB317"/>
  <c r="Y323"/>
  <c r="Y325" s="1"/>
  <c r="Y327"/>
  <c r="Y330" s="1"/>
  <c r="Y332"/>
  <c r="Y336" s="1"/>
  <c r="AC336"/>
  <c r="Y359"/>
  <c r="Y362" s="1"/>
  <c r="AC362"/>
  <c r="Y371"/>
  <c r="Y375" s="1"/>
  <c r="AB387"/>
  <c r="AC393"/>
  <c r="AB393"/>
  <c r="Y396"/>
  <c r="Y399" s="1"/>
  <c r="AC404"/>
  <c r="AB410"/>
  <c r="AB417"/>
  <c r="AC429"/>
  <c r="Y431"/>
  <c r="Y435" s="1"/>
  <c r="AC435"/>
  <c r="Y437"/>
  <c r="Y441" s="1"/>
  <c r="AC441"/>
  <c r="AC447"/>
  <c r="AB447"/>
  <c r="Y450"/>
  <c r="Y453" s="1"/>
  <c r="Y455"/>
  <c r="Y458" s="1"/>
  <c r="AC458"/>
  <c r="AB471"/>
  <c r="AD471"/>
  <c r="Y473"/>
  <c r="Y477" s="1"/>
  <c r="AC477"/>
  <c r="AC482"/>
  <c r="AC488"/>
  <c r="AB488"/>
  <c r="AB494"/>
  <c r="Y496"/>
  <c r="Y500" s="1"/>
  <c r="AC500"/>
  <c r="Y507"/>
  <c r="AC507"/>
  <c r="Y509"/>
  <c r="Y514" s="1"/>
  <c r="AC514"/>
  <c r="AB525"/>
  <c r="Y527"/>
  <c r="Y530" s="1"/>
  <c r="AC530"/>
  <c r="Y532"/>
  <c r="Y536" s="1"/>
  <c r="AC536"/>
  <c r="Y538"/>
  <c r="Y542" s="1"/>
  <c r="AC542"/>
  <c r="Y546"/>
  <c r="Y547" s="1"/>
  <c r="Y550"/>
  <c r="Y552" s="1"/>
  <c r="AB559"/>
  <c r="Y562"/>
  <c r="Y567" s="1"/>
  <c r="Y575"/>
  <c r="Y581" s="1"/>
  <c r="AC581"/>
  <c r="AB588"/>
  <c r="AB594"/>
  <c r="AC600"/>
  <c r="AB600"/>
  <c r="Y603"/>
  <c r="Y606" s="1"/>
  <c r="Y608"/>
  <c r="Y612" s="1"/>
  <c r="AC612"/>
  <c r="Y625"/>
  <c r="Y626" s="1"/>
  <c r="AC632"/>
  <c r="AB638"/>
  <c r="AC651"/>
  <c r="AB651"/>
  <c r="Y1852"/>
  <c r="Y1862"/>
  <c r="Y1997"/>
  <c r="AD2114"/>
  <c r="AC1470"/>
  <c r="Y2045"/>
  <c r="AB2107"/>
  <c r="Y2103"/>
  <c r="Y2107" s="1"/>
  <c r="AC765"/>
  <c r="AC801"/>
  <c r="AB801"/>
  <c r="AC821"/>
  <c r="AB821"/>
  <c r="AB831"/>
  <c r="AC841"/>
  <c r="Y841"/>
  <c r="AB851"/>
  <c r="AC851"/>
  <c r="Y853"/>
  <c r="Y861" s="1"/>
  <c r="AC861"/>
  <c r="Y863"/>
  <c r="AC871"/>
  <c r="Y880"/>
  <c r="AC880"/>
  <c r="AB889"/>
  <c r="Y889"/>
  <c r="Y891"/>
  <c r="Y899" s="1"/>
  <c r="AC899"/>
  <c r="Y901"/>
  <c r="Y909" s="1"/>
  <c r="AC909"/>
  <c r="Y911"/>
  <c r="Y919" s="1"/>
  <c r="AC919"/>
  <c r="AC939"/>
  <c r="Z941"/>
  <c r="AB959"/>
  <c r="Z951"/>
  <c r="AB969"/>
  <c r="Z961"/>
  <c r="AB979"/>
  <c r="Z971"/>
  <c r="AB999"/>
  <c r="Z991"/>
  <c r="Y1001"/>
  <c r="Y1009" s="1"/>
  <c r="AB1019"/>
  <c r="Z1011"/>
  <c r="AB1026"/>
  <c r="AB1437"/>
  <c r="AB1618"/>
  <c r="AB1646"/>
  <c r="AD1804"/>
  <c r="AC1869"/>
  <c r="AB1890"/>
  <c r="AB2088"/>
  <c r="AC2107"/>
  <c r="AB2114"/>
  <c r="AC2259"/>
  <c r="AD2259" s="1"/>
  <c r="AD202"/>
  <c r="Z198"/>
  <c r="AC208"/>
  <c r="AC214"/>
  <c r="AD148"/>
  <c r="AB154"/>
  <c r="AD154"/>
  <c r="AD160"/>
  <c r="AC160"/>
  <c r="Y180"/>
  <c r="Y184" s="1"/>
  <c r="AC184"/>
  <c r="AD196"/>
  <c r="AC196"/>
  <c r="Z180"/>
  <c r="AC148"/>
  <c r="AC154"/>
  <c r="Z246"/>
  <c r="Z247"/>
  <c r="Z252"/>
  <c r="Z256" s="1"/>
  <c r="Z258"/>
  <c r="Z259"/>
  <c r="Z265"/>
  <c r="Z289"/>
  <c r="Z292"/>
  <c r="Z301"/>
  <c r="Z302"/>
  <c r="AD319"/>
  <c r="Z327"/>
  <c r="Z332"/>
  <c r="Z335"/>
  <c r="Z354"/>
  <c r="Z359"/>
  <c r="Z361"/>
  <c r="Z406"/>
  <c r="AD423"/>
  <c r="Z437"/>
  <c r="Z467"/>
  <c r="Z471" s="1"/>
  <c r="Z496"/>
  <c r="Z509"/>
  <c r="Z527"/>
  <c r="Z538"/>
  <c r="Z562"/>
  <c r="Z563"/>
  <c r="Z569"/>
  <c r="Z570"/>
  <c r="Z575"/>
  <c r="Z628"/>
  <c r="Z629"/>
  <c r="Z664"/>
  <c r="Z803"/>
  <c r="AD811"/>
  <c r="Z931"/>
  <c r="Y941"/>
  <c r="Y949" s="1"/>
  <c r="Y951"/>
  <c r="Y959" s="1"/>
  <c r="Y961"/>
  <c r="Y969" s="1"/>
  <c r="Y971"/>
  <c r="Y979" s="1"/>
  <c r="Y991"/>
  <c r="Y999" s="1"/>
  <c r="Y1011"/>
  <c r="Y1019" s="1"/>
  <c r="Y1021"/>
  <c r="Y1026" s="1"/>
  <c r="AC1618"/>
  <c r="B2329"/>
  <c r="B2330" s="1"/>
  <c r="B2331" s="1"/>
  <c r="B2359" s="1"/>
  <c r="B2364" s="1"/>
  <c r="B2320"/>
  <c r="B2321" s="1"/>
  <c r="AC1804"/>
  <c r="Z1862"/>
  <c r="Z1905"/>
  <c r="Z1916"/>
  <c r="Z2034"/>
  <c r="AD2059"/>
  <c r="Z2151"/>
  <c r="AD1009" l="1"/>
  <c r="AD594"/>
  <c r="Y1859"/>
  <c r="AD638"/>
  <c r="AD387"/>
  <c r="AD178"/>
  <c r="AD482"/>
  <c r="AD514"/>
  <c r="AD270"/>
  <c r="Z989"/>
  <c r="AD1026"/>
  <c r="AD184"/>
  <c r="Y871"/>
  <c r="Y2052"/>
  <c r="AD644"/>
  <c r="AD220"/>
  <c r="AD500"/>
  <c r="Y2154"/>
  <c r="Z162"/>
  <c r="Z166" s="1"/>
  <c r="AD166"/>
  <c r="Z2073"/>
  <c r="AD2066"/>
  <c r="AD619"/>
  <c r="AD429"/>
  <c r="AD352"/>
  <c r="Z1970"/>
  <c r="AD2080"/>
  <c r="AD1880"/>
  <c r="Z1873"/>
  <c r="Z1880" s="1"/>
  <c r="AD2027"/>
  <c r="Z2020"/>
  <c r="Z2027" s="1"/>
  <c r="Y2073"/>
  <c r="Y2094"/>
  <c r="AD465"/>
  <c r="Z429"/>
  <c r="Z926"/>
  <c r="AD929"/>
  <c r="Z170"/>
  <c r="Z172" s="1"/>
  <c r="AD172"/>
  <c r="Z263"/>
  <c r="Y1912"/>
  <c r="Y1981"/>
  <c r="AD369"/>
  <c r="AD989"/>
  <c r="Z1520"/>
  <c r="Y2134"/>
  <c r="Y2041"/>
  <c r="AD1981"/>
  <c r="AD1912"/>
  <c r="Y1787"/>
  <c r="AD256"/>
  <c r="AD2041"/>
  <c r="AD2004"/>
  <c r="Y2004"/>
  <c r="Z1514"/>
  <c r="Z1513"/>
  <c r="Z1525"/>
  <c r="Z1524"/>
  <c r="Z1523"/>
  <c r="Z1522"/>
  <c r="Z1521"/>
  <c r="AD1787"/>
  <c r="AD2148"/>
  <c r="Z2143"/>
  <c r="Y2101"/>
  <c r="Y357"/>
  <c r="AD375"/>
  <c r="Y2224"/>
  <c r="AD2141"/>
  <c r="Z2193"/>
  <c r="Z482"/>
  <c r="Z330"/>
  <c r="Z530"/>
  <c r="Z500"/>
  <c r="Z270"/>
  <c r="Z184"/>
  <c r="Z667"/>
  <c r="Z573"/>
  <c r="AD581"/>
  <c r="Z196"/>
  <c r="Z2035"/>
  <c r="Y1545"/>
  <c r="Y1294"/>
  <c r="AD1545"/>
  <c r="Z1978"/>
  <c r="Z581"/>
  <c r="Z999"/>
  <c r="Y1501"/>
  <c r="AD1600"/>
  <c r="Z2513"/>
  <c r="Z2037"/>
  <c r="Z2036"/>
  <c r="Z2040"/>
  <c r="Z441"/>
  <c r="Z202"/>
  <c r="Z542"/>
  <c r="Z514"/>
  <c r="Z410"/>
  <c r="Z1019"/>
  <c r="Z979"/>
  <c r="Z969"/>
  <c r="Z959"/>
  <c r="Z949"/>
  <c r="Z1009"/>
  <c r="AD1501"/>
  <c r="AD1673"/>
  <c r="AD2513"/>
  <c r="AD1294"/>
  <c r="AD137"/>
  <c r="Y311"/>
  <c r="Z1600"/>
  <c r="B2483"/>
  <c r="B2485" s="1"/>
  <c r="B2486" s="1"/>
  <c r="B2487" s="1"/>
  <c r="B2488" s="1"/>
  <c r="B2489" s="1"/>
  <c r="B2490" s="1"/>
  <c r="B2492" s="1"/>
  <c r="B2493" s="1"/>
  <c r="B2494" s="1"/>
  <c r="B2495" s="1"/>
  <c r="B2496" s="1"/>
  <c r="B2365"/>
  <c r="B2367" s="1"/>
  <c r="B2368" s="1"/>
  <c r="AD2266"/>
  <c r="B2276"/>
  <c r="B2277" s="1"/>
  <c r="B2278" s="1"/>
  <c r="B2279" s="1"/>
  <c r="B2280" s="1"/>
  <c r="B2281" s="1"/>
  <c r="B2283" s="1"/>
  <c r="B2284" s="1"/>
  <c r="B2286" s="1"/>
  <c r="B2288" s="1"/>
  <c r="B2289" s="1"/>
  <c r="B2290" s="1"/>
  <c r="Z2114"/>
  <c r="Z1021"/>
  <c r="Z1026" s="1"/>
  <c r="Z590"/>
  <c r="Z594" s="1"/>
  <c r="Z174"/>
  <c r="Z178" s="1"/>
  <c r="B1054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s="1"/>
  <c r="B1076" s="1"/>
  <c r="B1077" s="1"/>
  <c r="B1078" s="1"/>
  <c r="B1079" s="1"/>
  <c r="B1080" s="1"/>
  <c r="B1081" s="1"/>
  <c r="B1082" s="1"/>
  <c r="B1083" s="1"/>
  <c r="B1084" s="1"/>
  <c r="B1085" s="1"/>
  <c r="B1086" s="1"/>
  <c r="B1087" s="1"/>
  <c r="B1088" s="1"/>
  <c r="B1089" s="1"/>
  <c r="B1090" s="1"/>
  <c r="B1091" s="1"/>
  <c r="B1092" s="1"/>
  <c r="B1093" s="1"/>
  <c r="B1094" s="1"/>
  <c r="B1095" s="1"/>
  <c r="B1096" s="1"/>
  <c r="B1097" s="1"/>
  <c r="B1098" s="1"/>
  <c r="B1099" s="1"/>
  <c r="B1100" s="1"/>
  <c r="B1101" s="1"/>
  <c r="B1102" s="1"/>
  <c r="B1103" s="1"/>
  <c r="B1104" s="1"/>
  <c r="B1105" s="1"/>
  <c r="B1106" s="1"/>
  <c r="B1107" s="1"/>
  <c r="B1108" s="1"/>
  <c r="B1109" s="1"/>
  <c r="B1110" s="1"/>
  <c r="B1111" s="1"/>
  <c r="B1112" s="1"/>
  <c r="B1113" s="1"/>
  <c r="B1114" s="1"/>
  <c r="B1115" s="1"/>
  <c r="B1116" s="1"/>
  <c r="B1117" s="1"/>
  <c r="B1118" s="1"/>
  <c r="B1119" s="1"/>
  <c r="B1120" s="1"/>
  <c r="B1121" s="1"/>
  <c r="B1122" s="1"/>
  <c r="B1123" s="1"/>
  <c r="B1124" s="1"/>
  <c r="B1125" s="1"/>
  <c r="B1126" s="1"/>
  <c r="B1127" s="1"/>
  <c r="B1129" s="1"/>
  <c r="B1130" s="1"/>
  <c r="B1131" s="1"/>
  <c r="B1132" s="1"/>
  <c r="B1133" s="1"/>
  <c r="B1134" s="1"/>
  <c r="B1135" s="1"/>
  <c r="B1136" s="1"/>
  <c r="B1137" s="1"/>
  <c r="B1138" s="1"/>
  <c r="B1139" s="1"/>
  <c r="B1140" s="1"/>
  <c r="B1141" s="1"/>
  <c r="B1142" s="1"/>
  <c r="B1143" s="1"/>
  <c r="B1144" s="1"/>
  <c r="B1145" s="1"/>
  <c r="B1146" s="1"/>
  <c r="B1147" s="1"/>
  <c r="B1149" s="1"/>
  <c r="B1150" s="1"/>
  <c r="B1151" s="1"/>
  <c r="B1152" s="1"/>
  <c r="B1153" s="1"/>
  <c r="B1154" s="1"/>
  <c r="B1155" s="1"/>
  <c r="B1157" s="1"/>
  <c r="B1158" s="1"/>
  <c r="B1159" s="1"/>
  <c r="B1160" s="1"/>
  <c r="B1167" s="1"/>
  <c r="B1180" s="1"/>
  <c r="B1181" s="1"/>
  <c r="B1183" s="1"/>
  <c r="B1184" s="1"/>
  <c r="B1186" s="1"/>
  <c r="B1187" s="1"/>
  <c r="B1188" s="1"/>
  <c r="B1189" s="1"/>
  <c r="B1190" s="1"/>
  <c r="B1191" s="1"/>
  <c r="B1192" s="1"/>
  <c r="B1193" s="1"/>
  <c r="B1194" s="1"/>
  <c r="B1195" s="1"/>
  <c r="B1196" s="1"/>
  <c r="B1198" s="1"/>
  <c r="B1200" s="1"/>
  <c r="B1202" s="1"/>
  <c r="B1203" s="1"/>
  <c r="B1204" s="1"/>
  <c r="B1205" s="1"/>
  <c r="B1206" s="1"/>
  <c r="B1207" s="1"/>
  <c r="B1208" s="1"/>
  <c r="B1209" s="1"/>
  <c r="B1210" s="1"/>
  <c r="B1214" s="1"/>
  <c r="B1215" s="1"/>
  <c r="B1216" s="1"/>
  <c r="B1217" s="1"/>
  <c r="B1218" s="1"/>
  <c r="B1219" s="1"/>
  <c r="B1222" s="1"/>
  <c r="B1223" s="1"/>
  <c r="B1224" s="1"/>
  <c r="B1225" s="1"/>
  <c r="B1226" s="1"/>
  <c r="B1227" s="1"/>
  <c r="B1228" s="1"/>
  <c r="B1229" s="1"/>
  <c r="B1230" s="1"/>
  <c r="B1231" s="1"/>
  <c r="B1232" s="1"/>
  <c r="B1233" s="1"/>
  <c r="B1234" s="1"/>
  <c r="B1235" s="1"/>
  <c r="B1236" s="1"/>
  <c r="B1237" s="1"/>
  <c r="B1238" s="1"/>
  <c r="B1239" s="1"/>
  <c r="B1240" s="1"/>
  <c r="B1241" s="1"/>
  <c r="B1242" s="1"/>
  <c r="B1243" s="1"/>
  <c r="B1244" s="1"/>
  <c r="B1245" s="1"/>
  <c r="B1246" s="1"/>
  <c r="B1247" s="1"/>
  <c r="B1248" s="1"/>
  <c r="B1249" s="1"/>
  <c r="B1250" s="1"/>
  <c r="B1251" s="1"/>
  <c r="B1252" s="1"/>
  <c r="B1253" s="1"/>
  <c r="B1254" s="1"/>
  <c r="B1255" s="1"/>
  <c r="B1256" s="1"/>
  <c r="B1257" s="1"/>
  <c r="B1258" s="1"/>
  <c r="B1259" s="1"/>
  <c r="B1260" s="1"/>
  <c r="B1261" s="1"/>
  <c r="B1264" s="1"/>
  <c r="B1265" s="1"/>
  <c r="B1266" s="1"/>
  <c r="B1267" s="1"/>
  <c r="B1268" s="1"/>
  <c r="B1269" s="1"/>
  <c r="B1271" s="1"/>
  <c r="B1272" s="1"/>
  <c r="B1273" s="1"/>
  <c r="B1274" s="1"/>
  <c r="B1276" s="1"/>
  <c r="B1277" s="1"/>
  <c r="B1278" s="1"/>
  <c r="B1279" s="1"/>
  <c r="B1280" s="1"/>
  <c r="B1281" s="1"/>
  <c r="B1282" s="1"/>
  <c r="B1284" s="1"/>
  <c r="B1287" s="1"/>
  <c r="B1288" s="1"/>
  <c r="B1289" s="1"/>
  <c r="B1290" s="1"/>
  <c r="B1291" s="1"/>
  <c r="B1292" s="1"/>
  <c r="B1293" s="1"/>
  <c r="Z1775"/>
  <c r="AD1392"/>
  <c r="AD1348"/>
  <c r="B48"/>
  <c r="B49" s="1"/>
  <c r="B50" s="1"/>
  <c r="B51" s="1"/>
  <c r="B52" s="1"/>
  <c r="B53" s="1"/>
  <c r="B54" s="1"/>
  <c r="B55" s="1"/>
  <c r="Z1711"/>
  <c r="Z1710"/>
  <c r="Z1709"/>
  <c r="Z1708"/>
  <c r="Z1707"/>
  <c r="Z1706"/>
  <c r="Z1777"/>
  <c r="Z1698"/>
  <c r="AD793"/>
  <c r="Z2099"/>
  <c r="Z1785"/>
  <c r="Z1543"/>
  <c r="Z1541"/>
  <c r="Z1539"/>
  <c r="Z1530"/>
  <c r="Z1529"/>
  <c r="Z1528"/>
  <c r="Z1518"/>
  <c r="Z868"/>
  <c r="Z867"/>
  <c r="Z866"/>
  <c r="Z865"/>
  <c r="Z864"/>
  <c r="Z306"/>
  <c r="Z1783"/>
  <c r="AB793"/>
  <c r="Z1774"/>
  <c r="Z1779"/>
  <c r="Z1781"/>
  <c r="Z1782"/>
  <c r="B1694"/>
  <c r="B1695" s="1"/>
  <c r="B1696" s="1"/>
  <c r="B1697" s="1"/>
  <c r="B1698" s="1"/>
  <c r="B1699" s="1"/>
  <c r="B1700" s="1"/>
  <c r="B1701" s="1"/>
  <c r="B1702" s="1"/>
  <c r="B1703" s="1"/>
  <c r="B1704" s="1"/>
  <c r="Z1510"/>
  <c r="Z1505"/>
  <c r="Z356"/>
  <c r="Z2091"/>
  <c r="Z1780"/>
  <c r="Z1778"/>
  <c r="Z1721"/>
  <c r="Z1722"/>
  <c r="Z2246"/>
  <c r="Z2242"/>
  <c r="Z2240"/>
  <c r="Z2236"/>
  <c r="Z2235"/>
  <c r="Z2230"/>
  <c r="Z2229"/>
  <c r="Z2227"/>
  <c r="Z2228"/>
  <c r="Y1673"/>
  <c r="B1337"/>
  <c r="B1338" s="1"/>
  <c r="B1339" s="1"/>
  <c r="B1340" s="1"/>
  <c r="B1341" s="1"/>
  <c r="Z1717"/>
  <c r="Z2148"/>
  <c r="Z355"/>
  <c r="AD2400"/>
  <c r="Z2131"/>
  <c r="Y831"/>
  <c r="Z2152"/>
  <c r="Z1723"/>
  <c r="Z1720"/>
  <c r="AD939"/>
  <c r="Z2098"/>
  <c r="Z2096"/>
  <c r="Z2101" s="1"/>
  <c r="Z2132"/>
  <c r="Z2130"/>
  <c r="Z2092"/>
  <c r="Z2090"/>
  <c r="Z2094" s="1"/>
  <c r="Z2245"/>
  <c r="Z2247"/>
  <c r="Z2244"/>
  <c r="Z2243"/>
  <c r="Z2248"/>
  <c r="Z2241"/>
  <c r="Z2234"/>
  <c r="Z2233"/>
  <c r="Z2232"/>
  <c r="Y2250"/>
  <c r="Z2150"/>
  <c r="Z2154" s="1"/>
  <c r="Z1532"/>
  <c r="Z1512"/>
  <c r="Z310"/>
  <c r="Z309"/>
  <c r="Z939"/>
  <c r="AD311"/>
  <c r="Z308"/>
  <c r="AD979"/>
  <c r="AD1019"/>
  <c r="AD969"/>
  <c r="AD959"/>
  <c r="AD949"/>
  <c r="Z634"/>
  <c r="Z638" s="1"/>
  <c r="Z614"/>
  <c r="Z619" s="1"/>
  <c r="Z323"/>
  <c r="Z325" s="1"/>
  <c r="Z216"/>
  <c r="Z220" s="1"/>
  <c r="AD190"/>
  <c r="Y1869"/>
  <c r="AD1470"/>
  <c r="AD1869"/>
  <c r="Z1485"/>
  <c r="Z1484"/>
  <c r="Z1483"/>
  <c r="Z1474"/>
  <c r="Z1993"/>
  <c r="Z2449"/>
  <c r="Z2368"/>
  <c r="Z1487"/>
  <c r="Z1486"/>
  <c r="Z1477"/>
  <c r="Z1476"/>
  <c r="Z1475"/>
  <c r="Z632"/>
  <c r="Z567"/>
  <c r="AD1946"/>
  <c r="AD1646"/>
  <c r="Z1670"/>
  <c r="Y1646"/>
  <c r="Z2196"/>
  <c r="Z2048"/>
  <c r="Z1974"/>
  <c r="Z1868"/>
  <c r="Z851"/>
  <c r="Z362"/>
  <c r="Z250"/>
  <c r="AD851"/>
  <c r="AD2016"/>
  <c r="Z1649"/>
  <c r="Y1959"/>
  <c r="Z2222"/>
  <c r="Z2219"/>
  <c r="Z2218"/>
  <c r="Z2208"/>
  <c r="Z2207"/>
  <c r="Z2204"/>
  <c r="Z2203"/>
  <c r="Z2200"/>
  <c r="Z2047"/>
  <c r="Z1999"/>
  <c r="Z1958"/>
  <c r="Z1953"/>
  <c r="AD1959"/>
  <c r="Z1922"/>
  <c r="Z1911"/>
  <c r="Z1908"/>
  <c r="Y1890"/>
  <c r="Z1865"/>
  <c r="Z1863"/>
  <c r="Z1858"/>
  <c r="Z1854"/>
  <c r="Z1853"/>
  <c r="Z1671"/>
  <c r="Z1664"/>
  <c r="Z1663"/>
  <c r="Z1662"/>
  <c r="Z1661"/>
  <c r="Z1660"/>
  <c r="Z1659"/>
  <c r="Z1658"/>
  <c r="Z1651"/>
  <c r="Z1650"/>
  <c r="Z2194"/>
  <c r="Z1954"/>
  <c r="Z2221"/>
  <c r="Z2220"/>
  <c r="Z2217"/>
  <c r="Z2216"/>
  <c r="Z2206"/>
  <c r="Z2205"/>
  <c r="Z2202"/>
  <c r="Z2201"/>
  <c r="Z2051"/>
  <c r="Z2046"/>
  <c r="Z2003"/>
  <c r="Z1998"/>
  <c r="AD1993"/>
  <c r="Z1980"/>
  <c r="Z1977"/>
  <c r="Z1976"/>
  <c r="Z1975"/>
  <c r="Z1955"/>
  <c r="Z1919"/>
  <c r="Z1918"/>
  <c r="Z1917"/>
  <c r="Z1909"/>
  <c r="Z1906"/>
  <c r="Z1864"/>
  <c r="Z1856"/>
  <c r="Z1855"/>
  <c r="Z1669"/>
  <c r="Z1657"/>
  <c r="Z1654"/>
  <c r="Z1653"/>
  <c r="Z1652"/>
  <c r="AD306"/>
  <c r="AD999"/>
  <c r="Z640"/>
  <c r="Z644" s="1"/>
  <c r="Z382"/>
  <c r="Z387" s="1"/>
  <c r="AD567"/>
  <c r="Z2129"/>
  <c r="Z2083"/>
  <c r="Z2088" s="1"/>
  <c r="AD2088"/>
  <c r="Z2061"/>
  <c r="Z2066" s="1"/>
  <c r="Z2045"/>
  <c r="Z1997"/>
  <c r="AD1890"/>
  <c r="Z891"/>
  <c r="Z899" s="1"/>
  <c r="AD899"/>
  <c r="Z831"/>
  <c r="AD831"/>
  <c r="AD801"/>
  <c r="Z795"/>
  <c r="Z801" s="1"/>
  <c r="AD651"/>
  <c r="Z646"/>
  <c r="Z651" s="1"/>
  <c r="AD606"/>
  <c r="Z602"/>
  <c r="Z606" s="1"/>
  <c r="Z507"/>
  <c r="AD507"/>
  <c r="Z490"/>
  <c r="Z494" s="1"/>
  <c r="AD494"/>
  <c r="Z473"/>
  <c r="Z477" s="1"/>
  <c r="AD477"/>
  <c r="AD453"/>
  <c r="Z449"/>
  <c r="Z453" s="1"/>
  <c r="AD417"/>
  <c r="Z412"/>
  <c r="Z417" s="1"/>
  <c r="AD404"/>
  <c r="Z401"/>
  <c r="Z404" s="1"/>
  <c r="Z377"/>
  <c r="Z380" s="1"/>
  <c r="AD380"/>
  <c r="AD281"/>
  <c r="Z277"/>
  <c r="Z281" s="1"/>
  <c r="AD226"/>
  <c r="Z222"/>
  <c r="Z226" s="1"/>
  <c r="Z2075"/>
  <c r="Z2080" s="1"/>
  <c r="Z1473"/>
  <c r="Z921"/>
  <c r="Z901"/>
  <c r="Z909" s="1"/>
  <c r="AD909"/>
  <c r="Z882"/>
  <c r="Z889" s="1"/>
  <c r="AD889"/>
  <c r="Z863"/>
  <c r="Z841"/>
  <c r="AD841"/>
  <c r="AD821"/>
  <c r="Z813"/>
  <c r="Z821" s="1"/>
  <c r="Y803"/>
  <c r="Y811" s="1"/>
  <c r="Z811"/>
  <c r="Z653"/>
  <c r="AD626"/>
  <c r="Z621"/>
  <c r="Z626" s="1"/>
  <c r="Z608"/>
  <c r="Z612" s="1"/>
  <c r="AD612"/>
  <c r="AD600"/>
  <c r="Z596"/>
  <c r="Z600" s="1"/>
  <c r="Z583"/>
  <c r="Z588" s="1"/>
  <c r="AD588"/>
  <c r="Z554"/>
  <c r="Z559" s="1"/>
  <c r="AD559"/>
  <c r="AD547"/>
  <c r="Z544"/>
  <c r="Z547" s="1"/>
  <c r="Z532"/>
  <c r="Z536" s="1"/>
  <c r="AD536"/>
  <c r="Z522"/>
  <c r="Z525" s="1"/>
  <c r="AD525"/>
  <c r="AD488"/>
  <c r="Z484"/>
  <c r="Z488" s="1"/>
  <c r="Z455"/>
  <c r="Z458" s="1"/>
  <c r="AD458"/>
  <c r="AD447"/>
  <c r="Z443"/>
  <c r="Z447" s="1"/>
  <c r="Z431"/>
  <c r="Z435" s="1"/>
  <c r="AD435"/>
  <c r="AD399"/>
  <c r="Z395"/>
  <c r="Z399" s="1"/>
  <c r="Z371"/>
  <c r="AD342"/>
  <c r="Z338"/>
  <c r="Z313"/>
  <c r="Z317" s="1"/>
  <c r="AD317"/>
  <c r="Z275"/>
  <c r="AD275"/>
  <c r="Z240"/>
  <c r="Z244" s="1"/>
  <c r="AD244"/>
  <c r="AD232"/>
  <c r="Z228"/>
  <c r="Z232" s="1"/>
  <c r="Z336"/>
  <c r="Z293"/>
  <c r="AD632"/>
  <c r="AD362"/>
  <c r="AD250"/>
  <c r="AD293"/>
  <c r="Z2103"/>
  <c r="Z2107" s="1"/>
  <c r="AD2107"/>
  <c r="Z1852"/>
  <c r="Z911"/>
  <c r="Z919" s="1"/>
  <c r="AD919"/>
  <c r="Z880"/>
  <c r="AD880"/>
  <c r="Z853"/>
  <c r="Z861" s="1"/>
  <c r="AD861"/>
  <c r="AD552"/>
  <c r="Z549"/>
  <c r="Z552" s="1"/>
  <c r="AD520"/>
  <c r="Z520"/>
  <c r="AD393"/>
  <c r="Z389"/>
  <c r="Z393" s="1"/>
  <c r="Z364"/>
  <c r="Z348"/>
  <c r="Z352" s="1"/>
  <c r="Z319"/>
  <c r="Z320" s="1"/>
  <c r="AD320"/>
  <c r="AD238"/>
  <c r="Z234"/>
  <c r="Z238" s="1"/>
  <c r="AD214"/>
  <c r="Z210"/>
  <c r="Z214" s="1"/>
  <c r="AD208"/>
  <c r="Z204"/>
  <c r="Z208" s="1"/>
  <c r="AD336"/>
  <c r="Z1923" l="1"/>
  <c r="Z871"/>
  <c r="Z2052"/>
  <c r="Z2134"/>
  <c r="Y1923"/>
  <c r="Y2514" s="1"/>
  <c r="Z929"/>
  <c r="Z342"/>
  <c r="Z369"/>
  <c r="Z658"/>
  <c r="Z1912"/>
  <c r="Z1981"/>
  <c r="Z2041"/>
  <c r="Z2004"/>
  <c r="Z1787"/>
  <c r="Z1859"/>
  <c r="Z375"/>
  <c r="Z357"/>
  <c r="Z2224"/>
  <c r="Z2250"/>
  <c r="Z1501"/>
  <c r="Z2400"/>
  <c r="Z1294"/>
  <c r="Z1545"/>
  <c r="B2291"/>
  <c r="B2293" s="1"/>
  <c r="B2294" s="1"/>
  <c r="Z1673"/>
  <c r="B2497"/>
  <c r="B2498" s="1"/>
  <c r="B2500" s="1"/>
  <c r="B2501" s="1"/>
  <c r="B2502" s="1"/>
  <c r="B2503" s="1"/>
  <c r="B2504" s="1"/>
  <c r="B2505" s="1"/>
  <c r="B2506" s="1"/>
  <c r="B2507" s="1"/>
  <c r="B2508" s="1"/>
  <c r="B2509" s="1"/>
  <c r="B2510" s="1"/>
  <c r="B2511" s="1"/>
  <c r="B2512" s="1"/>
  <c r="B2369"/>
  <c r="B2370" s="1"/>
  <c r="B2371" s="1"/>
  <c r="B56"/>
  <c r="B57" s="1"/>
  <c r="B58" s="1"/>
  <c r="B59" s="1"/>
  <c r="B60" s="1"/>
  <c r="B61" s="1"/>
  <c r="B62" s="1"/>
  <c r="B63" s="1"/>
  <c r="B64" s="1"/>
  <c r="B65" s="1"/>
  <c r="B66" s="1"/>
  <c r="B67" s="1"/>
  <c r="B1342"/>
  <c r="B1344" s="1"/>
  <c r="B1345" s="1"/>
  <c r="B1346" s="1"/>
  <c r="B1347" s="1"/>
  <c r="Z311"/>
  <c r="Z1869"/>
  <c r="Z1890"/>
  <c r="Z1959"/>
  <c r="Z1646"/>
  <c r="Z2016"/>
  <c r="Z1946"/>
  <c r="Z2514" l="1"/>
  <c r="B2391"/>
  <c r="B2392" s="1"/>
  <c r="B2394" s="1"/>
  <c r="B2398" s="1"/>
  <c r="B2399" s="1"/>
  <c r="B1706"/>
  <c r="B1707" s="1"/>
  <c r="B1708" s="1"/>
  <c r="B1709" s="1"/>
  <c r="B1710" s="1"/>
  <c r="B1711" s="1"/>
  <c r="B1712" s="1"/>
  <c r="B1713" s="1"/>
  <c r="B1714" s="1"/>
  <c r="B1715" s="1"/>
  <c r="B1716" s="1"/>
  <c r="B1717" s="1"/>
  <c r="B1718" s="1"/>
  <c r="B1719" s="1"/>
  <c r="B1720" s="1"/>
  <c r="B1721" s="1"/>
  <c r="B1722" s="1"/>
  <c r="B1723" s="1"/>
  <c r="B1724" s="1"/>
  <c r="B1725" s="1"/>
  <c r="B1726" s="1"/>
  <c r="B1727" s="1"/>
  <c r="B1729" s="1"/>
  <c r="B1730" s="1"/>
  <c r="B1731" s="1"/>
  <c r="B1733" s="1"/>
  <c r="B1734" s="1"/>
  <c r="B1735" s="1"/>
  <c r="B1736" s="1"/>
  <c r="B1737" s="1"/>
  <c r="B1738" s="1"/>
  <c r="B1739" s="1"/>
  <c r="B1740" s="1"/>
  <c r="B1741" s="1"/>
  <c r="B1742" s="1"/>
  <c r="B1743" s="1"/>
  <c r="B1744" s="1"/>
  <c r="B1745" s="1"/>
  <c r="B1747" s="1"/>
  <c r="B1748" s="1"/>
  <c r="B1749" s="1"/>
  <c r="B1750" s="1"/>
  <c r="B1751" s="1"/>
  <c r="B1752" s="1"/>
  <c r="B1753" s="1"/>
  <c r="B1754" s="1"/>
  <c r="B1756" s="1"/>
  <c r="B1757" s="1"/>
  <c r="B1758" s="1"/>
  <c r="B1759" s="1"/>
  <c r="B1760" s="1"/>
  <c r="B1761" s="1"/>
  <c r="B1763" s="1"/>
  <c r="B1764" s="1"/>
  <c r="B1765" s="1"/>
  <c r="B1766" s="1"/>
  <c r="B1767" s="1"/>
  <c r="B1768" s="1"/>
  <c r="B1769" s="1"/>
  <c r="B1770" s="1"/>
  <c r="B1771" l="1"/>
  <c r="B1772" s="1"/>
  <c r="B1774" s="1"/>
  <c r="B1775" s="1"/>
  <c r="B1776" s="1"/>
  <c r="B1777" s="1"/>
  <c r="B1778" s="1"/>
  <c r="B1779" s="1"/>
  <c r="B1780" s="1"/>
  <c r="B1781" s="1"/>
  <c r="B1782" s="1"/>
  <c r="B1783" s="1"/>
  <c r="B1784" s="1"/>
  <c r="B1785" s="1"/>
  <c r="B1786" s="1"/>
  <c r="AC2264" l="1"/>
  <c r="AD2264" s="1"/>
  <c r="AC2268" l="1"/>
  <c r="AD2268" l="1"/>
  <c r="AC2272"/>
  <c r="AD2272" l="1"/>
  <c r="AC2278" l="1"/>
  <c r="AC2275"/>
  <c r="AD2275" l="1"/>
  <c r="AD2278"/>
  <c r="AC2292"/>
  <c r="AD2295" l="1"/>
  <c r="AC2295"/>
  <c r="AA1420" l="1"/>
  <c r="AC1402"/>
  <c r="AD1402" s="1"/>
  <c r="AD1420" s="1"/>
  <c r="AC1420" l="1"/>
  <c r="AC2514" l="1"/>
  <c r="AD2514" s="1"/>
  <c r="AB1466" l="1"/>
  <c r="AA1470"/>
  <c r="AA2514" s="1"/>
  <c r="AB1470" l="1"/>
  <c r="AB2514" l="1"/>
</calcChain>
</file>

<file path=xl/sharedStrings.xml><?xml version="1.0" encoding="utf-8"?>
<sst xmlns="http://schemas.openxmlformats.org/spreadsheetml/2006/main" count="6260" uniqueCount="2403">
  <si>
    <t>APBD KABUPATEN PURBALINGGA TAHUN ANGGARAN 2015</t>
  </si>
  <si>
    <t xml:space="preserve"> </t>
  </si>
  <si>
    <t>NO</t>
  </si>
  <si>
    <t xml:space="preserve">KODE KEGIATAN </t>
  </si>
  <si>
    <t>SKPD / NAMA KEGIATAN</t>
  </si>
  <si>
    <t>SUMBER DANA</t>
  </si>
  <si>
    <t>ANGGARAN (Rp.)</t>
  </si>
  <si>
    <t>METODE</t>
  </si>
  <si>
    <t>NILAI KONTRAK 
(Rp.)</t>
  </si>
  <si>
    <t>PELAKSANAAN</t>
  </si>
  <si>
    <t>TARGET
%</t>
  </si>
  <si>
    <t>REAL
%</t>
  </si>
  <si>
    <t>SP2D</t>
  </si>
  <si>
    <t>SPJ</t>
  </si>
  <si>
    <t>SEBELUM PERUBAHAN</t>
  </si>
  <si>
    <t>SETELAH PERUBAHAN</t>
  </si>
  <si>
    <t>PELAKSANA</t>
  </si>
  <si>
    <t>WAKTU</t>
  </si>
  <si>
    <t>Rp.</t>
  </si>
  <si>
    <t>%</t>
  </si>
  <si>
    <t>TGL MULAI</t>
  </si>
  <si>
    <t>TGL SELESAI</t>
  </si>
  <si>
    <t>PEMEL</t>
  </si>
  <si>
    <t>1.01.01</t>
  </si>
  <si>
    <t>Dinas Pendidikan</t>
  </si>
  <si>
    <t>01 . 01</t>
  </si>
  <si>
    <t>Program Penguatan Kelembagaan Perangkat Daerah</t>
  </si>
  <si>
    <t>01.01.01</t>
  </si>
  <si>
    <t>Penyediaan Bahan dan Jasa Perkantoran</t>
  </si>
  <si>
    <t>01.01.02</t>
  </si>
  <si>
    <t>Rapat-rapat Koordinasi dan Konsultasi</t>
  </si>
  <si>
    <t>01.01.03</t>
  </si>
  <si>
    <t>Pemeliharaan Sarana dan Prasarana Kantor</t>
  </si>
  <si>
    <t>01.01.04</t>
  </si>
  <si>
    <t>Pengadaan Sarana dan Prasarana Kantor</t>
  </si>
  <si>
    <t>01.01.05</t>
  </si>
  <si>
    <t>Pendidikan dan Pelatihan Pegawai</t>
  </si>
  <si>
    <t>01.01.08</t>
  </si>
  <si>
    <t>Penyusunan Dokumen Perencanaan dan Laporan Kinerja SKPD</t>
  </si>
  <si>
    <t>01.01.13</t>
  </si>
  <si>
    <t>Pemeliharaan Jaringan SIM Keuangan Dinas</t>
  </si>
  <si>
    <t>01.15</t>
  </si>
  <si>
    <t>Program Pendidikan Usia Dini</t>
  </si>
  <si>
    <t>01.15.01</t>
  </si>
  <si>
    <t>Ajang Kreatifitas Anak Usia Dini</t>
  </si>
  <si>
    <t>01.15.02</t>
  </si>
  <si>
    <t>Bantuan Penyelenggaraan Gebyar PAUD (Bant Gub)</t>
  </si>
  <si>
    <t>01.15.03</t>
  </si>
  <si>
    <t>Bantuan Penyelenggaraan Lomba Gugus PAUD dan Lomba KB/TK Berprestasi (Ban Gub)</t>
  </si>
  <si>
    <t>01.15.08</t>
  </si>
  <si>
    <t>Penyelenggaraan PAUD</t>
  </si>
  <si>
    <t>01.15.10</t>
  </si>
  <si>
    <t>Bantuan Pengembangan Sarana Prasarana PAUD (Ban Gub)</t>
  </si>
  <si>
    <t>01.15.14</t>
  </si>
  <si>
    <t>Penyelenggaraan Apresiasi PTK-PAUDNI Berprestasi</t>
  </si>
  <si>
    <t>01.16</t>
  </si>
  <si>
    <t>Program Pendidikan Dasar</t>
  </si>
  <si>
    <t>01.16.01</t>
  </si>
  <si>
    <t>Pekan Seni SD, SMP, SM, dan Lomba Geguritan</t>
  </si>
  <si>
    <t>01.16.02</t>
  </si>
  <si>
    <t>Penyelenggaraan Lomba dan Pembinaan Prestasi SD/MI</t>
  </si>
  <si>
    <t>01.16.03</t>
  </si>
  <si>
    <t>Penyelenggaraan Lomba SMP/MTs/SMPLB</t>
  </si>
  <si>
    <t>01.16.04</t>
  </si>
  <si>
    <t>Bantuan Ujian SD/MI</t>
  </si>
  <si>
    <t>01.16.05</t>
  </si>
  <si>
    <t>Bantuan Ujian SMP/MTs</t>
  </si>
  <si>
    <t>01.16.06</t>
  </si>
  <si>
    <t>Pemenuhan Sarana Prasarana SD/SDLB (DAK)</t>
  </si>
  <si>
    <t>01.16.08</t>
  </si>
  <si>
    <t>Beasiswa Prestasi SD/SMP/SM</t>
  </si>
  <si>
    <t>01.16.09</t>
  </si>
  <si>
    <t>Pendampingan BOS SD/SMP</t>
  </si>
  <si>
    <t>01.16.10</t>
  </si>
  <si>
    <t>Fasilitasi SD SMP Satu Atap</t>
  </si>
  <si>
    <t>01.16.11</t>
  </si>
  <si>
    <t>Fasilitasi Tim Pengembangan Kurikulum</t>
  </si>
  <si>
    <t>01.16.22</t>
  </si>
  <si>
    <t>Bantuan Pengadaan Buku Perpustakaan SD (Ban Gub)</t>
  </si>
  <si>
    <t>01.16.25</t>
  </si>
  <si>
    <t>Bantuan Pembinaan Potensi Siswa SD/SDLB dan SMP/SMPLB (Ban Gub)</t>
  </si>
  <si>
    <t>01.16.26</t>
  </si>
  <si>
    <t>Bantuan Pengadaan Mebelair Pengganti SD (Ban Gub)</t>
  </si>
  <si>
    <t>01.16.34</t>
  </si>
  <si>
    <t>Bantuan Pendampingan BOS SD/SDLB/MI (Ban Gub)</t>
  </si>
  <si>
    <t>01.16.35</t>
  </si>
  <si>
    <t>Bantuan Pendampingan BOS SMP/SMPLB/MTs (ban Gub)</t>
  </si>
  <si>
    <t>01.16.42</t>
  </si>
  <si>
    <t>Bantuan Fasilitasi Program PMT-AS (Ban Gub)</t>
  </si>
  <si>
    <t>01.16.43</t>
  </si>
  <si>
    <t>Fasilitasi Bantuan Keuangan Provinsi Bidang Pendidikan Dasar</t>
  </si>
  <si>
    <t>01.16.47</t>
  </si>
  <si>
    <t>Bantuan Operasional SLB</t>
  </si>
  <si>
    <t>01.16.48</t>
  </si>
  <si>
    <t>Pemenuhan Sarana Prasarana SMP ( DAK )</t>
  </si>
  <si>
    <t>01.16.50</t>
  </si>
  <si>
    <t>Pembangunan RKB dan Perpustakaan SD Negeri Kembaran Kulon 1</t>
  </si>
  <si>
    <t>01.16.56</t>
  </si>
  <si>
    <t>Pembangunan RKB SMP Satu Atap 4 Karangmoncol</t>
  </si>
  <si>
    <t>01.16.57</t>
  </si>
  <si>
    <t>Peningkatan Kapasitas Penerapan (PKP) SPM Pendidikan</t>
  </si>
  <si>
    <t>01.16.58</t>
  </si>
  <si>
    <t>Pendampingan Program Pengembangan Kapasitas Penerapan (PKP) SPM Dikdas</t>
  </si>
  <si>
    <t>01.16.63</t>
  </si>
  <si>
    <t>Bantuan Pembelajaran Wisata Edukasi (Bangub)</t>
  </si>
  <si>
    <t>01.17</t>
  </si>
  <si>
    <t>Program Pendidikan Menengah</t>
  </si>
  <si>
    <t>01.17.01</t>
  </si>
  <si>
    <t>Bantuan Ujian SM</t>
  </si>
  <si>
    <t>01.17.03</t>
  </si>
  <si>
    <t>Pelaksanaan dan Pembinaan Olimpiade SMA dan Lomba Kompetensi Siswa SMK Tingkat Kabupaten</t>
  </si>
  <si>
    <t>01.17.06</t>
  </si>
  <si>
    <t>Fasilitasi SMK Kecil dan SMA Terbuka</t>
  </si>
  <si>
    <t>01.17.07</t>
  </si>
  <si>
    <t>Lomba SMA/MA/SMK</t>
  </si>
  <si>
    <t>01.17.08</t>
  </si>
  <si>
    <t>Peningkatan SMK SSN</t>
  </si>
  <si>
    <t>01.17.10</t>
  </si>
  <si>
    <t>Pembinaan Prestasi Siswa SMA/MA/SMK</t>
  </si>
  <si>
    <t>01.17.11</t>
  </si>
  <si>
    <t>Penyelenggaraan Paket C Setara SM</t>
  </si>
  <si>
    <t>01.17.12</t>
  </si>
  <si>
    <t>Fasilitasi bantuan Keuangan Provinsi Bidang Pendidikan Menengah</t>
  </si>
  <si>
    <t>01.17.26</t>
  </si>
  <si>
    <t>Bantuan Pengadaan Alat Bengkel SMK (Ban Gub)</t>
  </si>
  <si>
    <t>01.17.40</t>
  </si>
  <si>
    <t>Pemenuhan Sarana Prasarana SMA ( DAK )</t>
  </si>
  <si>
    <t>01.17.41</t>
  </si>
  <si>
    <t>Pemenuhan Sarana Prasarana SMK ( DAK )</t>
  </si>
  <si>
    <t>01.17.64</t>
  </si>
  <si>
    <t>Pengadaan Tanah untuk Pembangunan SMK Negeri Kejobong</t>
  </si>
  <si>
    <t>01.18</t>
  </si>
  <si>
    <t>Program Pendidikan Non Formal</t>
  </si>
  <si>
    <t>Penyelenggaraan Kejar Paket A Setara SD</t>
  </si>
  <si>
    <t>01.18.03</t>
  </si>
  <si>
    <t>Penyelenggaraan Kejar Paket B Setara SMP</t>
  </si>
  <si>
    <t>01.18.05</t>
  </si>
  <si>
    <t>Lomba Pendidikan Luar Sekolah dan Pameran Hari Aksara Internasional</t>
  </si>
  <si>
    <t>01.18.07</t>
  </si>
  <si>
    <t>Liga Pendidikan Indonesia</t>
  </si>
  <si>
    <t>01.18.08</t>
  </si>
  <si>
    <t>Bantuan Fasilitasi Hari Aksara Internasional (HAI) (Ban Gub)</t>
  </si>
  <si>
    <t>01.18.09</t>
  </si>
  <si>
    <t>Pembinaan Penyelenggaraan Kursus</t>
  </si>
  <si>
    <t>01.18.10</t>
  </si>
  <si>
    <t>Bantuan Kursus Mahir Tingkat Dasar Pramuka (Bangub)</t>
  </si>
  <si>
    <t>01.19</t>
  </si>
  <si>
    <t>Program Manajemen Pelayanan Pendidikan</t>
  </si>
  <si>
    <t>01.19.01</t>
  </si>
  <si>
    <t>Pelaksanaan Evaluasi Hasil Kinerja Kepala SD/SMP/SM</t>
  </si>
  <si>
    <t>01.19.02</t>
  </si>
  <si>
    <t>Bantuan Fasilitasi Penyelenggaraan UN,UASBN dan UNPK (Ban Gub)</t>
  </si>
  <si>
    <t>01.19.03</t>
  </si>
  <si>
    <t>Pendidikan Untuk Semua (Ban Gub)</t>
  </si>
  <si>
    <t>01.19.04</t>
  </si>
  <si>
    <t>Bantuan Manajemen Pendataan Pendidikan (Ban Gub)</t>
  </si>
  <si>
    <t>01.19.05</t>
  </si>
  <si>
    <t>Pembinaan Sekolah Sehat.</t>
  </si>
  <si>
    <t>01.19.06</t>
  </si>
  <si>
    <t>Bantuan Fasilitasi Pembinaan Nasionalisme dan Karakter Bangsa Melalui Jalur Pendidikan (Ban Gub)</t>
  </si>
  <si>
    <t>01.19.07</t>
  </si>
  <si>
    <t>Bantuan Kesejahteraan Pendidik Wiyata Bhakti Pendidikan Formal (Ban Gub)</t>
  </si>
  <si>
    <t>01.19.08</t>
  </si>
  <si>
    <t>Bantuan Kesra WB dan PTT</t>
  </si>
  <si>
    <t>01.19.09</t>
  </si>
  <si>
    <t>Bantuan Pengarusutamaan Gender (Ban Gub)</t>
  </si>
  <si>
    <t>01.19.10</t>
  </si>
  <si>
    <t>Bantuan Pengelolaan Penilaian Angka Kredit dan Sertifikasi Pendidik (Ban Gub)</t>
  </si>
  <si>
    <t>01.19.12</t>
  </si>
  <si>
    <t>Bantuan Peningkatan Kualifikasi ke S1/D.4 Pendidikan Formal (Ban Gub)</t>
  </si>
  <si>
    <t>01.19.13</t>
  </si>
  <si>
    <t>Bantuan Penyelenggaraan Pemilihan Pendidik dan Tenaga Kependidikan Formal (Ban Gub)</t>
  </si>
  <si>
    <t>01.19.14</t>
  </si>
  <si>
    <t>Pemilihan Guru, Kepsek, Pengawas, dan Tutor  Kejar Paket Berprestasi</t>
  </si>
  <si>
    <t>01.19.15</t>
  </si>
  <si>
    <t>Fasilitasi Sertifikasi Guru dalam Jabatan</t>
  </si>
  <si>
    <t>01.19.16</t>
  </si>
  <si>
    <t>Penilaian Angka Kredit (PAK) Jabatan Fungsional Pendidik dan Tenaga Kependidikan</t>
  </si>
  <si>
    <t>01.19.17</t>
  </si>
  <si>
    <t>Seleksi Calon Kepala Sekolah dan Calon Pengawas Satuan Pendidikan dan Diklat Kepala Sekolah</t>
  </si>
  <si>
    <t>01.19.18</t>
  </si>
  <si>
    <t>Bantuan Kesejahteraan Pendidik PAUD (Ban Gub)</t>
  </si>
  <si>
    <t>01.19.19</t>
  </si>
  <si>
    <t>Bantuan Operasional Pengelolaan Bantuan Pendidikan (Ban Gub)</t>
  </si>
  <si>
    <t>01.19.20</t>
  </si>
  <si>
    <t>Bantuan Peningkatan Kualifikasi ke S1 Pendidik PAUD (Ban Gub)</t>
  </si>
  <si>
    <t>01.19.21</t>
  </si>
  <si>
    <t>Bantuan Penyelenggaraan Apresiasi Pendidik dan Tenaga Kependidikan PAUDNI Berprestasi (Ban Gub)</t>
  </si>
  <si>
    <t>01.19.22</t>
  </si>
  <si>
    <t>Fasilitasi Pengelolaan Akreditasi Sekolah/Madrasah</t>
  </si>
  <si>
    <t>01.19.24</t>
  </si>
  <si>
    <t>Fasilitasi dan Desiminasi Pengembangan Program USAID</t>
  </si>
  <si>
    <t>01.19.25</t>
  </si>
  <si>
    <t>Pengembangan Website Dinas Pendidikan</t>
  </si>
  <si>
    <t>01.19.27</t>
  </si>
  <si>
    <t>Monitoring, Evaluasi dan Penyusunan Statistik Kinerja Pendidikan</t>
  </si>
  <si>
    <t>01.19.29</t>
  </si>
  <si>
    <t>Pelaksanaan PPDB On Line</t>
  </si>
  <si>
    <t>01.19.30</t>
  </si>
  <si>
    <t>Pendidikan dan Pelatihan Asesor Penilaian Kinerja Guru (PKG) dan Pengembangan Keprofesian Berkelanjugan (PKB)</t>
  </si>
  <si>
    <t>01.19.33</t>
  </si>
  <si>
    <t>Diklat Kepala Sekolah dan Pengawas Pendidikan</t>
  </si>
  <si>
    <t>SUB JML DINAS PENDIDIKAN</t>
  </si>
  <si>
    <t>01.001</t>
  </si>
  <si>
    <t>01.003</t>
  </si>
  <si>
    <t>01.005</t>
  </si>
  <si>
    <t>01.01</t>
  </si>
  <si>
    <t>01.02</t>
  </si>
  <si>
    <t>01.03</t>
  </si>
  <si>
    <t>01.05</t>
  </si>
  <si>
    <t>01.002</t>
  </si>
  <si>
    <t>1.01.16</t>
  </si>
  <si>
    <t>1.01.17</t>
  </si>
  <si>
    <t>1.02.01</t>
  </si>
  <si>
    <t>Dinas Kesehatan</t>
  </si>
  <si>
    <t>01.007</t>
  </si>
  <si>
    <t>01.008</t>
  </si>
  <si>
    <t>1.02.15</t>
  </si>
  <si>
    <t>Program Pengelolaan Obat Publik, Makanan, Minuman dan Perbekalan Farmasi</t>
  </si>
  <si>
    <t>15.001</t>
  </si>
  <si>
    <t>Pengadaan Obat dan Perbekalan Kesehatan untuk Pelayanan Kesehatan Dasar (DAK)</t>
  </si>
  <si>
    <t>15.002</t>
  </si>
  <si>
    <t>Pemeriksaan Makanan dan Minuman</t>
  </si>
  <si>
    <t>Pengadaan Reagen Refill Complete Food Test Kit</t>
  </si>
  <si>
    <t>1.02.16</t>
  </si>
  <si>
    <t>Program Pelayanan KIA, Remaja, dan Usia Lanjut</t>
  </si>
  <si>
    <t>16.10</t>
  </si>
  <si>
    <t>Akselerasi Penurunan AKI - AKB</t>
  </si>
  <si>
    <t>16.11</t>
  </si>
  <si>
    <t>Peningkatan Mutu Pelayanan Kesehatan Anak dan Remaja</t>
  </si>
  <si>
    <t>16.12</t>
  </si>
  <si>
    <t>Peningkatan Pelayanan Kesehatan Lansia dan KB</t>
  </si>
  <si>
    <t>16.13</t>
  </si>
  <si>
    <t>Monitoring puskesmas PONED</t>
  </si>
  <si>
    <t>16.14</t>
  </si>
  <si>
    <t>Peningkatan Kinerja Program KIA</t>
  </si>
  <si>
    <t>1.02.17</t>
  </si>
  <si>
    <t>Program Pemantapan Fungsi Manajemen Kesehatan</t>
  </si>
  <si>
    <t>17.001</t>
  </si>
  <si>
    <t>Supervisi Terpadu Kinerja UPTD Kesehatan</t>
  </si>
  <si>
    <t>17.002</t>
  </si>
  <si>
    <t>Pelayanan Perijinan  Registrasi Kesehatan</t>
  </si>
  <si>
    <t>17.006</t>
  </si>
  <si>
    <t>Deseminasi/Bimbingan Teknis Petugas Pengelola Obat dan Petugas Laboratorium</t>
  </si>
  <si>
    <t>17.007</t>
  </si>
  <si>
    <t>Akreditasi UPTD Puskesmas</t>
  </si>
  <si>
    <t>17.008</t>
  </si>
  <si>
    <t>17.009</t>
  </si>
  <si>
    <t>Manajemen Kesehatan dan Sistem Informasi Kesehatan</t>
  </si>
  <si>
    <t>1.02.18</t>
  </si>
  <si>
    <t>Program PHBS dan Pemberdayaan Masyarakat Bidang Kesehatan</t>
  </si>
  <si>
    <t>18.001</t>
  </si>
  <si>
    <t>Pelayanan Kesehatan Masyarakat Miskin</t>
  </si>
  <si>
    <t>18.002</t>
  </si>
  <si>
    <t>Fasilitasi Desa Sehat Mandiri (DSM)</t>
  </si>
  <si>
    <t>18.004</t>
  </si>
  <si>
    <t>Penyelenggaraan Sekolah Sehat</t>
  </si>
  <si>
    <t>18.005</t>
  </si>
  <si>
    <t>Advokasi dan Sosialisasi Implementasi SJSN / BPJS</t>
  </si>
  <si>
    <t>18.006</t>
  </si>
  <si>
    <t>Promosi Kesehatan Melalui Berbagai Media</t>
  </si>
  <si>
    <t>18.007</t>
  </si>
  <si>
    <t>Pembinaan Upaya Kesehatan Berbasis Masyarakat</t>
  </si>
  <si>
    <t>18.008</t>
  </si>
  <si>
    <t>Monitoring dan Evaluasi Program Jamkesda</t>
  </si>
  <si>
    <t>18.009</t>
  </si>
  <si>
    <t>Pengelolaan Jamkesda</t>
  </si>
  <si>
    <t>18.010</t>
  </si>
  <si>
    <t>Pembinaan UKK (Upaya Kesehatan Kerja)</t>
  </si>
  <si>
    <t>1.02.19</t>
  </si>
  <si>
    <t>Program Pencegahan dan Pemberantasan Penyakit</t>
  </si>
  <si>
    <t>19.001</t>
  </si>
  <si>
    <t>Imunisasi Rutin</t>
  </si>
  <si>
    <t>19.002</t>
  </si>
  <si>
    <t>BIAS Campak dan DT/TT</t>
  </si>
  <si>
    <t>19.004</t>
  </si>
  <si>
    <t>Surveilans Epidemiologi</t>
  </si>
  <si>
    <t>19.005</t>
  </si>
  <si>
    <t>Pemberantasan Penyakit Menular Langsung</t>
  </si>
  <si>
    <t>19.006</t>
  </si>
  <si>
    <t>Pemberantasan Penyakit Bersumber Binatang</t>
  </si>
  <si>
    <t>19.007</t>
  </si>
  <si>
    <t>Penanganan Kasus TB Multi Drugs Resisten</t>
  </si>
  <si>
    <t>19.008</t>
  </si>
  <si>
    <t>Fasilitasi Pencegahan Penyakit Tidak Menular</t>
  </si>
  <si>
    <t>19.010</t>
  </si>
  <si>
    <t>Sosialisasi Penanggulangan HIV/Aids</t>
  </si>
  <si>
    <t>19.011</t>
  </si>
  <si>
    <t>Eliminasi Malaria</t>
  </si>
  <si>
    <t>19.012</t>
  </si>
  <si>
    <t>Filaria dan Kecacingan</t>
  </si>
  <si>
    <t>1.02.20</t>
  </si>
  <si>
    <t>Program Kesehatan Matra</t>
  </si>
  <si>
    <t>20.001</t>
  </si>
  <si>
    <t>Fasilitasi PPPK</t>
  </si>
  <si>
    <t>20.002</t>
  </si>
  <si>
    <t>Pelayanan Kesehatan Haji</t>
  </si>
  <si>
    <t>1.02.22</t>
  </si>
  <si>
    <t>Program Peningkatan Kapasitas dan Kualitas Prasarana dan Sarana Pelayanan Kesehatan</t>
  </si>
  <si>
    <t>22.001</t>
  </si>
  <si>
    <t>Pengadaan Fasilitas Pemeriksaan Kesehatan Bagai Penderita Dampak Asap Rokok (DBH-CHT)</t>
  </si>
  <si>
    <t>22.002</t>
  </si>
  <si>
    <t>Pembangunan / Rehabilitasi Sarana / Prasarana Pelayanan Kesehatan (DAK)</t>
  </si>
  <si>
    <t>Pengadaan Bed Pasien Rawat Inap</t>
  </si>
  <si>
    <t>1.02.23</t>
  </si>
  <si>
    <t>Program Perbaikan Gizi Masyarakat</t>
  </si>
  <si>
    <t>23.001</t>
  </si>
  <si>
    <t>Pencegahan Penanggulangan Masalah KEP, AGB, KVA dan Kekurangan Zat Gizi Mikro Lainnya</t>
  </si>
  <si>
    <t>23.002</t>
  </si>
  <si>
    <t>Usaha Perbaikan Gizi Institusi SD/MI</t>
  </si>
  <si>
    <t>23.003</t>
  </si>
  <si>
    <t>Pembinaan Keluarga Sadar Gizi dan Survei PSG Kadarzi</t>
  </si>
  <si>
    <t>23.004</t>
  </si>
  <si>
    <t>Perawatan Balita Gizi Buruk di Pusat Pemulihan Gizi (PPG)</t>
  </si>
  <si>
    <t>1.02.24</t>
  </si>
  <si>
    <t>Program Peningkatan Kualitas Kesehatan Lingkungan</t>
  </si>
  <si>
    <t>24.001</t>
  </si>
  <si>
    <t>Pengendalian Vektor Lalat di TPA dan TPS</t>
  </si>
  <si>
    <t>24.002</t>
  </si>
  <si>
    <t>Fasilitasi PAMSIMAS Komponen B</t>
  </si>
  <si>
    <t>24.003</t>
  </si>
  <si>
    <t>Pengawasan Kualitas Sumber Air Bersih dan Sanitasi di TTU/TPM</t>
  </si>
  <si>
    <t>24.004</t>
  </si>
  <si>
    <t>Jambanisasi</t>
  </si>
  <si>
    <t>24.005</t>
  </si>
  <si>
    <t>Pemeriksaan Kesehatan Pada Petani (Penyemprot Pestisida) dan Karyawan di TP2 Pestisida</t>
  </si>
  <si>
    <t>24.006</t>
  </si>
  <si>
    <t>Fasilitasi peningkatan Klinik Sanitasi di Puskesmas</t>
  </si>
  <si>
    <t>24.007</t>
  </si>
  <si>
    <t>Advokasi dan Kampanye Stop Buang Air Besar Sembarangan (BABS)</t>
  </si>
  <si>
    <t>Review EHRA</t>
  </si>
  <si>
    <t>Sub Jml Dinas Kesehatan</t>
  </si>
  <si>
    <t>1.02.02</t>
  </si>
  <si>
    <t>RSUD Goeteng Taroenadibrata</t>
  </si>
  <si>
    <t>Program Peningkatan Pelayanan pada BLUD</t>
  </si>
  <si>
    <t>02.001</t>
  </si>
  <si>
    <t>Kegiatan Pelayanan</t>
  </si>
  <si>
    <t>Pembangunan Tahap II Gedung Rawat Inap Kelas III</t>
  </si>
  <si>
    <t>Pengadaan Alat-alat Kesehatan Pakai Habis</t>
  </si>
  <si>
    <t>Pengadaan Bahan Laboratorium</t>
  </si>
  <si>
    <t>Pengadaan Peralatan Medis dan Non Medis</t>
  </si>
  <si>
    <t>Pengadaan Obat-obatan Rumah sakit</t>
  </si>
  <si>
    <t>Rehabilitasi Sarana dan Prasarana dan Penataan Lingkungan</t>
  </si>
  <si>
    <t>02.002</t>
  </si>
  <si>
    <t>Kegiatan Pendukung Pelayanan</t>
  </si>
  <si>
    <t>18.011</t>
  </si>
  <si>
    <t>Subsidi Pembelian Obat-Obatan RSUD Sebagai Pengganti Pelayanan Kesehatan Kepada Masyarakat Miskin</t>
  </si>
  <si>
    <t>1.02.21</t>
  </si>
  <si>
    <t>Program Pengadaan Peningkatan Sarana dan Prasarana Rumah Sakit</t>
  </si>
  <si>
    <t>21.001</t>
  </si>
  <si>
    <t>Pembangunan Gedung Rawat Inap (DAK)</t>
  </si>
  <si>
    <t>Pembangunan Instalasi Pengolah Limbah (IPAL) (DAK)</t>
  </si>
  <si>
    <t>Sub Jml RSUD Goeteng Taroenadibrata</t>
  </si>
  <si>
    <t>17.004</t>
  </si>
  <si>
    <t>25.001</t>
  </si>
  <si>
    <t>25.002</t>
  </si>
  <si>
    <t>1.03.01</t>
  </si>
  <si>
    <t>Dinas Pekerjaan Umum</t>
  </si>
  <si>
    <t>Pembangunan Gedung SD negeri Bobotsari</t>
  </si>
  <si>
    <t>Penyempurnaan Pembangunan Gedung SMK N 3 Purbalingga</t>
  </si>
  <si>
    <t>Penyusunan Dokumen Perencanaan dan Evaluasi Kinerja SKPD</t>
  </si>
  <si>
    <t>01.020</t>
  </si>
  <si>
    <t>Pengelolaan UPTD Wilayah</t>
  </si>
  <si>
    <t>01.021</t>
  </si>
  <si>
    <t>Operasional dan Mobilisasi Alat Berat</t>
  </si>
  <si>
    <t>1.03.15</t>
  </si>
  <si>
    <t>Program Peningkatan Kinerja Pengelolaan Persampahan</t>
  </si>
  <si>
    <t>Pengelolaan TPA Banjaran</t>
  </si>
  <si>
    <t>Pemeliharaan Kebersihan dan Keindahan</t>
  </si>
  <si>
    <t>Pengadaan Arm Roll Truk</t>
  </si>
  <si>
    <t>Pengadaan Kontainer</t>
  </si>
  <si>
    <t>Pengadaan Tempat Sampah</t>
  </si>
  <si>
    <t>Pengadaan Gerobag</t>
  </si>
  <si>
    <t>1.03.16</t>
  </si>
  <si>
    <t>Program Pembangunan, Peningkatan, Rehabilitasi, dan Pemeliharaan Jalan dan Jembatan</t>
  </si>
  <si>
    <t>16.001</t>
  </si>
  <si>
    <t>Pemeliharaan Rutin Jalan</t>
  </si>
  <si>
    <t>16.002</t>
  </si>
  <si>
    <t>Pemeliharaan Rutin Jembatan</t>
  </si>
  <si>
    <t>16.004</t>
  </si>
  <si>
    <t>Pembangunan Jembatan Gatot Subroto Desa Karangtengah Kecamatan Kertanegara ruas jalan Karanganyar - Karangmoncol</t>
  </si>
  <si>
    <t>16.006</t>
  </si>
  <si>
    <t>Pemeliharaan Jalan Pagedangan-Sumingkir (lanjutan)</t>
  </si>
  <si>
    <t>16.009</t>
  </si>
  <si>
    <t>Pemeliharaan Berkala Jalan Bumisari -Binangun (Jumbleng) (lanjutan)</t>
  </si>
  <si>
    <t>16.010</t>
  </si>
  <si>
    <t>Pemeliharaan Berkala Kembangan - Karangcengis (lanjutan)</t>
  </si>
  <si>
    <t>Pemeliharaan Berkala Jalan Kalikajar - Slinga - Sidanegara (lanjutan)</t>
  </si>
  <si>
    <t>16.015</t>
  </si>
  <si>
    <t>Pembangunan Drainase Jalan Sekitar Pasar Sinduraja</t>
  </si>
  <si>
    <t>16.016</t>
  </si>
  <si>
    <t>Peningkatan Jalan Kembaran Wetan - Slinga</t>
  </si>
  <si>
    <t>16.017</t>
  </si>
  <si>
    <t>Peningkatan Jalan Lamongan-Jatisaba-Toyareja</t>
  </si>
  <si>
    <t>16.018</t>
  </si>
  <si>
    <t>Peningkatan jalan Sinduraja - Sidareja</t>
  </si>
  <si>
    <t>16.019</t>
  </si>
  <si>
    <t>Peningkatan jalan lingkar Pasar Sinduraja (lanjutan)</t>
  </si>
  <si>
    <t>16.020</t>
  </si>
  <si>
    <t>Pemeliharaan Jalan Karanganyar - Kaliori</t>
  </si>
  <si>
    <t>16.023</t>
  </si>
  <si>
    <t>Pembangunan talud jalan Karanganyar-Bobotsari Tanjakan Karangmalang</t>
  </si>
  <si>
    <t>16.024</t>
  </si>
  <si>
    <t>Pemeliharaan berkala jalan Sanguwatang - Danasari</t>
  </si>
  <si>
    <t>16.025</t>
  </si>
  <si>
    <t>Pemeliharaan Berkala Jalan Jingkang - Lempayan (lanjutan)</t>
  </si>
  <si>
    <t>16.026</t>
  </si>
  <si>
    <t>Peningkatan Jalan (pelebaran dan kantong parkir) Kutabawa - Bambangan (lanjutan)</t>
  </si>
  <si>
    <t>16.027</t>
  </si>
  <si>
    <t>Pemeliharaan Jalan Gondang - Sirandu</t>
  </si>
  <si>
    <t>16.028</t>
  </si>
  <si>
    <t>Pemeliharaan berkala jalan Danasari - Sirau (lanjutan)</t>
  </si>
  <si>
    <t>16.029</t>
  </si>
  <si>
    <t>Pemeliharaan Berkala Jalan Karangtengah - Karangjoho - Pangempon - Kejobong (lanjutan)</t>
  </si>
  <si>
    <t>16.030</t>
  </si>
  <si>
    <t>Penanganan Jembatan K Ranu Ruas Jalan Karangtengah - Karangjoho - Pangempon</t>
  </si>
  <si>
    <t>16.032</t>
  </si>
  <si>
    <t>Pemeliharaan Berkala Jalan Pengadegan - Pangempon (lanjutan)</t>
  </si>
  <si>
    <t>16.033</t>
  </si>
  <si>
    <t>Peningkatan Jalan Nangkod - Puntuksuruh</t>
  </si>
  <si>
    <t>16.034</t>
  </si>
  <si>
    <t>Peningkatan Jalan Bandingan (Dukuh Kramat) - Gumiwang (lanjutan)</t>
  </si>
  <si>
    <t>Peningkatan Jalan Timbang - Langgar</t>
  </si>
  <si>
    <t>Pemeliharaan Jalan Pasar Kemangkon (Bakulan - Panican)</t>
  </si>
  <si>
    <t>Peningkatan Jalan Panican - Sempor Kab. Purbalingga (lanjutan) (Ban-Gub)</t>
  </si>
  <si>
    <t>16.039</t>
  </si>
  <si>
    <t>Peningkatan Jalan Kertanegara - Kalijaran (lanjutan)</t>
  </si>
  <si>
    <t>16.042</t>
  </si>
  <si>
    <t>Pemeliharaan berkala jalan perbatasan Karangcegak dan Candinata (Pakejen) (lanjutan)</t>
  </si>
  <si>
    <t>16.043</t>
  </si>
  <si>
    <t>Rehab Jalan aspal Munjul - Kajongan- Gembong Kec. Bojongsari (lanjutan)</t>
  </si>
  <si>
    <t>16.044</t>
  </si>
  <si>
    <t>Peningkatan jalan Dukuh Surti  Desa Tangkisan - Onje</t>
  </si>
  <si>
    <t>Pemeliharaan Berkala Jalan Karangnangka - Binangun (lanjutan)</t>
  </si>
  <si>
    <t>16.047</t>
  </si>
  <si>
    <t>Pemeliharaan Berkala Jalan Perempatan Pasar Pengalusan - Biting - Katelklawu (lanjutan)</t>
  </si>
  <si>
    <t>16.048</t>
  </si>
  <si>
    <t>Pemeliharaan berkala jl Tangkisan - Kalijaran (lanjutan)</t>
  </si>
  <si>
    <t>16.049</t>
  </si>
  <si>
    <t>Penyusunan DED Peningktan Jalan Serayularangan-Serayukaranganyar-Lambur-Bobotsari</t>
  </si>
  <si>
    <t>16.051</t>
  </si>
  <si>
    <t>Pemeliharaan Berkala Jalan Gemuruh - Karangklesem (lanjutan)</t>
  </si>
  <si>
    <t>16.052</t>
  </si>
  <si>
    <t>Peningkatan Jalan pasunggingan - SMP 3 Pengadegan</t>
  </si>
  <si>
    <t>16.053</t>
  </si>
  <si>
    <t>Peningkatan Jalan Jalur Tumanggal-Tegalpingen-Tetel (Jalur Utara)</t>
  </si>
  <si>
    <t>16.054</t>
  </si>
  <si>
    <t>Pembangunan Jembatan Sungai Nyolek Pasunggingan</t>
  </si>
  <si>
    <t>16.055</t>
  </si>
  <si>
    <t>Pemeliharaan Jalan Kalikabong - Kedungmenjangan / Soekarno - Hatta (lanjutan)</t>
  </si>
  <si>
    <t>Pengaspalan Jalan Perumahan Bojong</t>
  </si>
  <si>
    <t>16.057</t>
  </si>
  <si>
    <t>Peningkatan Jalan (Hartono, Bekas Pasar), dan Rehabilitasi Drainase Lingkungan Gang Panca Kelurahan Purbalingga Lor</t>
  </si>
  <si>
    <t>16.058</t>
  </si>
  <si>
    <t>Pemeliharaan berkala jl. Gunung Padang Kandanggampang</t>
  </si>
  <si>
    <t>Peningkatan Jalan Sumampir (masjid sumampir)  - Tanalum</t>
  </si>
  <si>
    <t>Peningkatan jalan Pekiringan - Wanogara Kulon - Bantarbarang (Lanjutan)</t>
  </si>
  <si>
    <t>Pembangunan Jembatan Bantarbarang - Sumingkir, Kab. Purbalingga (Ban Gub)</t>
  </si>
  <si>
    <t>Pemeliharaan Berkala dan Pembangunan Jalan Wirasaba - Kemojing (melintang Runway Lanud Wirasaba)</t>
  </si>
  <si>
    <t>Pemeliharaan berkala jalan Karanggintung - Sirau</t>
  </si>
  <si>
    <t>16.070</t>
  </si>
  <si>
    <t>Pemeliharaan Berkala Jl. Pekiringan - Tajug</t>
  </si>
  <si>
    <t>Peningkatan Jalan Bantarbarang - Wlahar - Tumanggal (Lanjutan)</t>
  </si>
  <si>
    <t>Peningkatan Jalan Tunjungmuli - Panusupan (Dukuh Tipar)</t>
  </si>
  <si>
    <t>Pemeliharaan Berkala Jalan Penolih - Pasunggingan</t>
  </si>
  <si>
    <t>Penanganan Jembatan Bagian Bawah S Pekacangan Ruas Jalan Timbang - Kejobong</t>
  </si>
  <si>
    <t>Pemeliharaan Berkala Jalan Tlahab Lor - Bayeman</t>
  </si>
  <si>
    <t>16.080</t>
  </si>
  <si>
    <t>Fasilitasi Penyusunan Program Laik Fungsi Jalan</t>
  </si>
  <si>
    <t>16.082</t>
  </si>
  <si>
    <t>Pemeliharaan Berkala Jalan Karangtengah-Langkap (Lanjutan)</t>
  </si>
  <si>
    <t>16.083</t>
  </si>
  <si>
    <t>Peningkatan Jalan Pos Bambangan - Pos 1 Gunung Slamet</t>
  </si>
  <si>
    <t>16.084</t>
  </si>
  <si>
    <t>Pemeliharaan Berkala Jalan Wirakarya</t>
  </si>
  <si>
    <t>16.085</t>
  </si>
  <si>
    <t>Pemeliharaan Berkala Jalan Kopral Tanwir (Lanjutan)</t>
  </si>
  <si>
    <t>16.086</t>
  </si>
  <si>
    <t>Pemeliharaan Berkala Jalan Pasukan Pelajar Imam</t>
  </si>
  <si>
    <t>16.087</t>
  </si>
  <si>
    <t>Pengadaan Alat Berat (Pekerjaan Kebinamargaan)</t>
  </si>
  <si>
    <t>Pembangunan Jembatan Kaligintung Dukuh Limus Desa Karangbawang (Luncuran BanGub)</t>
  </si>
  <si>
    <t>Pemeliharaan Berkala Jalan Gunung Korakan Kalikabong Kec Kalimanah</t>
  </si>
  <si>
    <t>Pemeliharaan Berkala Jalan Desa Banjarkerta Kec Karanganyar</t>
  </si>
  <si>
    <t>Pemeliharaan Berkala Jalan Tumanggal-Sidareja</t>
  </si>
  <si>
    <t>Pemeliharaan Berkala Jalan Sidareja-Tetel</t>
  </si>
  <si>
    <t>16.100</t>
  </si>
  <si>
    <t>Pemeliharaan Berkala Jalan Lamuk-Sokanegara</t>
  </si>
  <si>
    <t>16.101</t>
  </si>
  <si>
    <t>Pemeliharaan Berkala Jalan Pelumutan-Senon</t>
  </si>
  <si>
    <t>16.102</t>
  </si>
  <si>
    <t>Pemeliharaan Berkala Jalan Watutumpang-Karanglo</t>
  </si>
  <si>
    <t>Peningkatan Jalan Sindang-Kaliori</t>
  </si>
  <si>
    <t>Perbaikan Jalan Amblas pada Ruas Jalan Pagerandong - Selakambang</t>
  </si>
  <si>
    <t>Perbaikan Jembatan Selakambang - Sidareja</t>
  </si>
  <si>
    <t>Peningkatan Jalan Arenan (Dukuh Sambeng) - Kaligondang (lanjutan)</t>
  </si>
  <si>
    <t>Peningkatan Jalan S Parman - Penambongan</t>
  </si>
  <si>
    <t>Pemeliharaan Berkala Jalan Kelurahan Karangmanyar</t>
  </si>
  <si>
    <t>1.03.17</t>
  </si>
  <si>
    <t>Program Pembangunan, Peningkatan, Rehabilitasi, dan Pemeliharaan Prasarana Irigasi dan Pengairan</t>
  </si>
  <si>
    <t>Pemeliharaan Rutin Irigasi</t>
  </si>
  <si>
    <t>WISMP</t>
  </si>
  <si>
    <t>Fasilitasi program WISMP</t>
  </si>
  <si>
    <t>Pembangunan Irigasi Kali Weran Desa Karangtalun Kec Bobotsari</t>
  </si>
  <si>
    <t>Rehabilitasi Bangunan dan Saluran Irigasi Metenggeng Kec. Bojongsari</t>
  </si>
  <si>
    <t>Rehabilitasi Bangunan dan Saluran Irigasi Waluh II Kec. Karangmoncol</t>
  </si>
  <si>
    <t>Rehabilitasi Bangunan dan Saluran Irigasi Tranggulasih Kec. Kalimanah</t>
  </si>
  <si>
    <t>Rehabilitasi Bangunan dan Saluran Irigasi Cangkring II Kec. Karanganyar</t>
  </si>
  <si>
    <t>Rehabilitasi Bangunan dan Saluran Irigasi Suro Kec. Karangmoncol</t>
  </si>
  <si>
    <t>Rehabilitasi Bangunan dan Saluran Irigasi Silompong Kec. Kertanegara</t>
  </si>
  <si>
    <t>Rehabilitasi Bangunan dan Saluran Irigasi Kedungarus Kec. Padamara</t>
  </si>
  <si>
    <t>17.030</t>
  </si>
  <si>
    <t>Rehabilitasi Bangunan dan Saluran Irigasi Kleang Kec. Bojongsari</t>
  </si>
  <si>
    <t>Rehabilitasi Bangunan dan Saluran Irigasi Benda Kec. Mrebet</t>
  </si>
  <si>
    <t>Rehabilitasi Bangunan dan Saluran Irigasi Makam Kec. Padamara</t>
  </si>
  <si>
    <t>Rehabilitasi Bangunan dan Saluran Irigasi Sitangkil Kec. Rembang</t>
  </si>
  <si>
    <t>Rehabilitasi Bangunan dan Saluran Irigasi Patrawangsa Kec. Bobotsari</t>
  </si>
  <si>
    <t>Rehabilitasi Bangunan dan Saluran Irigasi Tirtayasa Kec. Mrebet</t>
  </si>
  <si>
    <t>Rehabilitasi Bangunan dan Saluran Irigasi Karangjengkol Kec. Kutasari</t>
  </si>
  <si>
    <t>Pengamanan Bendung Desa Condong Kec. Kertanegara</t>
  </si>
  <si>
    <t>1.03.18</t>
  </si>
  <si>
    <t>Program Pengembangan dan Penataan Prasarana Perkotaan</t>
  </si>
  <si>
    <t>Pemeliharaan Rutin Lampu-lampu Khusus Taman Kota</t>
  </si>
  <si>
    <t>Pemeliharaan Rutin Taman-taman Kota, Alun-alun dan Tugu Batas</t>
  </si>
  <si>
    <t>18.003</t>
  </si>
  <si>
    <t>Pemeliharaan Trotoar Kota Purbalingga</t>
  </si>
  <si>
    <t>Pembangunan Trotoar Jl. Jenderal Soedirman (sisi timur alun-alun)</t>
  </si>
  <si>
    <t>Pemeliharaan Median Jalan Kabupaten Purbalingga</t>
  </si>
  <si>
    <t>Pembangunan Pagar Taman Bojong</t>
  </si>
  <si>
    <t xml:space="preserve"> Rehabilitasi Lapak Taman Bojong dan Pagar</t>
  </si>
  <si>
    <t>1.03.19</t>
  </si>
  <si>
    <t>Program Penataan Lingkungan Permukiman dan Peningkatan Kualitas Sanitasi</t>
  </si>
  <si>
    <t>Fasilitasi Program PNPM Perkotaan</t>
  </si>
  <si>
    <t>19.003</t>
  </si>
  <si>
    <t>Fasilitasi Program PAMSIMAS</t>
  </si>
  <si>
    <t>Fasilitasi Program Pembangunan Infrastruktur Perdesaan (PPIP)</t>
  </si>
  <si>
    <t>Pembangunan Sanitasi Lingkungan Berbasis Masyarakat (SLBM) Kab. Purbalingga (DAK)</t>
  </si>
  <si>
    <t>Pembangunan Sistem Penyediaan Air Bersih Sederhana (SIPAS) di 12 Desa Kab. Purbalingga (DAK)</t>
  </si>
  <si>
    <t>Pendataan Sarana Air Minum dan ssarana Sanitasi Perdesaan</t>
  </si>
  <si>
    <t>Pembangunan/Pemeliharaan Prasarana Lingkungan Perdesaan</t>
  </si>
  <si>
    <t>1.03.20</t>
  </si>
  <si>
    <t>Program Koordinasi Pelaksanaan Pembangunan Sarana dan Prasarana Wilayah</t>
  </si>
  <si>
    <t>Fasilitasi Penatausahaan Bantuan Aspal Imbal Swadaya</t>
  </si>
  <si>
    <t>1.03.21</t>
  </si>
  <si>
    <t>Program Peningkatan Kapasitas dan Kualitas Prasarana Pemerintahan</t>
  </si>
  <si>
    <t>Fasilitasi Keciptakaryaan</t>
  </si>
  <si>
    <t>Pembangunan Gedung Dinas Peternakan dan Perikanan</t>
  </si>
  <si>
    <t>21.009</t>
  </si>
  <si>
    <t>Pembuatan tembok keliling Kantor Kelurahan Kedmenjangan</t>
  </si>
  <si>
    <t>21.010</t>
  </si>
  <si>
    <t>Rehab gedung Balai Kelurahan dan Pavingisasi halaman Kelurahan Bancar</t>
  </si>
  <si>
    <t>Perluasan  Kantor Kecamatan Mrebet</t>
  </si>
  <si>
    <t>21.022</t>
  </si>
  <si>
    <t>Pembangunan Pendopo Kecamatan dan Pembangunan Area Parkir Kec. Kemangkon</t>
  </si>
  <si>
    <t>21.023</t>
  </si>
  <si>
    <t>Pembangunan Gedung BP2KP</t>
  </si>
  <si>
    <t>21.027</t>
  </si>
  <si>
    <t>Rehablilitasi Gedung Korpri</t>
  </si>
  <si>
    <t>21.028</t>
  </si>
  <si>
    <t>Pembangunan Depo Arsip</t>
  </si>
  <si>
    <t>Rehabilitasi Halaman Pendopo Cahyana</t>
  </si>
  <si>
    <t>Rehabilitasi Kantor Kelurahan Karangmanyar</t>
  </si>
  <si>
    <t>1.09.15</t>
  </si>
  <si>
    <t>Program Catur Tertib Pertanahan</t>
  </si>
  <si>
    <t>15.004</t>
  </si>
  <si>
    <t>Pengadaan Tanah Bagi Pelaksanaan Pembangunan Untuk Kepentingan Umum</t>
  </si>
  <si>
    <t>1.23.15</t>
  </si>
  <si>
    <t>Program Penyediaan Data dan Informasi Pembangunan Daerah</t>
  </si>
  <si>
    <t>15.011</t>
  </si>
  <si>
    <t>Penyusunan Buku Statistik DPU</t>
  </si>
  <si>
    <t>2.03.15</t>
  </si>
  <si>
    <t>Program Pendayagunaan dan Pengembangan Ketenagalistrikan dan Energi Alternatif</t>
  </si>
  <si>
    <t>Pemeliharaan Rutin Lampu Penerangan Jalan</t>
  </si>
  <si>
    <t>Pengadaan dan Pemasangan Penerangan Bendung Slinga</t>
  </si>
  <si>
    <t>Pemasangan Lampu Penerangan Jalan Jembatan Linggamas</t>
  </si>
  <si>
    <t>Pemasangan Lampu Penerangan Jalan Desa Lambur Kec. Mrebet</t>
  </si>
  <si>
    <t>Pengembangan Jaringan Listrik Pedesaan</t>
  </si>
  <si>
    <t>Pengawasan, Pengendalian, dan Pembinaan Sektor ESDM</t>
  </si>
  <si>
    <t>15.010</t>
  </si>
  <si>
    <t>Pemasangan Lampu Solar Cell</t>
  </si>
  <si>
    <t>Pengadaan Lampu Penerangan Jalan Penaruban - Sempor Lor - Kembaran Wetan</t>
  </si>
  <si>
    <t>Pengadaan Lampu Penerangan Jalan Desa Beji dan Karangbanjar</t>
  </si>
  <si>
    <t>Sub Jml Dinas Pekerjaan Umum</t>
  </si>
  <si>
    <t>1.06.01</t>
  </si>
  <si>
    <t>Bappeda</t>
  </si>
  <si>
    <t>1.05.15</t>
  </si>
  <si>
    <t>Program Penataan dan Pengendalian Ruang Daerah</t>
  </si>
  <si>
    <t>Fasilitasi Penyelenggaraan Penataan Ruang Daerah</t>
  </si>
  <si>
    <t>Analisis Interpretasi Peta GPS Geodetik</t>
  </si>
  <si>
    <t>Pencetakan Peta Kabupaten Purbalingga</t>
  </si>
  <si>
    <t>Identifikasi dan Analisis Potensi Lokasi Industri</t>
  </si>
  <si>
    <t>Penyusunan Rencana Tata Bangunan dan Lingkungan (RTBL) Kawasan Bandar Udara Wirasaba</t>
  </si>
  <si>
    <t>01.010</t>
  </si>
  <si>
    <t>Penataan Arsip</t>
  </si>
  <si>
    <t>01.023</t>
  </si>
  <si>
    <t>Peningkatan Kapasitas dan Kompetensi Perencana</t>
  </si>
  <si>
    <t>1.06.15</t>
  </si>
  <si>
    <t>Program Perencanaan Pembangunan Daerah</t>
  </si>
  <si>
    <t>Musyawarah Perencanaan Pembangunan Kabupaten Tahun 2014</t>
  </si>
  <si>
    <t>Penyusunan KUA PPAS 2015</t>
  </si>
  <si>
    <t>15.003</t>
  </si>
  <si>
    <t>Penyusunan RKPD</t>
  </si>
  <si>
    <t>15.008</t>
  </si>
  <si>
    <t>Penyusunan Pedoman Tatakelola Perencanaan Pembangunan dan Kebijakan Umum Pembangunan Tahunan Daerah</t>
  </si>
  <si>
    <t>15.009</t>
  </si>
  <si>
    <t>Penyusunan KUA PPAS Perubahan Tahun 2015</t>
  </si>
  <si>
    <t>Asistensi Penyusunan Renstra SKPD</t>
  </si>
  <si>
    <t>Penyusunan RKPD Perubahan</t>
  </si>
  <si>
    <t>Fasilitasi SIMRENDA</t>
  </si>
  <si>
    <t>Penyusunan Kajian Lingkungan Hidup Strategis RPJMD</t>
  </si>
  <si>
    <t>1.06.16</t>
  </si>
  <si>
    <t>Program Koordinasi,Pengendalian,dan Evaluasi Pembangunan Daerah</t>
  </si>
  <si>
    <t>Pelaporan dan Evaluasi Perencanaan Pembangunan Daerah</t>
  </si>
  <si>
    <t>FEDEP</t>
  </si>
  <si>
    <t>16.003</t>
  </si>
  <si>
    <t>Pendampingan Program WISMP</t>
  </si>
  <si>
    <t>Pendampingan Program Nasional Bidang Keciptakaryaan</t>
  </si>
  <si>
    <t>16.007</t>
  </si>
  <si>
    <t>Fasilitasi Kuliah Kerja Nyata</t>
  </si>
  <si>
    <t>Fasilitasi Tim Penanggulangan Kemiskinan Daerah</t>
  </si>
  <si>
    <t>Monitoring dan Evaluasi Bidang Energi, Sumberdaya Mineral, Lingkungan Hidup dan Prasarana Wilayah</t>
  </si>
  <si>
    <t>16.011</t>
  </si>
  <si>
    <t>Monitoring dan Evaluasi Bidang Pemerintahan dan Kesejahteraan Rakyat</t>
  </si>
  <si>
    <t>16.012</t>
  </si>
  <si>
    <t>Monitoring dan Evaluasi Bidang Ekonomi</t>
  </si>
  <si>
    <t>16.014</t>
  </si>
  <si>
    <t>Fasilitasi Program Kota Hijau</t>
  </si>
  <si>
    <t>Evaluasi Efektivitas Pelaksaaan Program-Program Pembangunan Bidang Ekonomi di Kabupaten Purbalingga (2010-2014)</t>
  </si>
  <si>
    <t>Pendampingan Program-program Pemberdayaan Masyarakat dan Sanitasi</t>
  </si>
  <si>
    <t>Pendampingan Green Economy and Locally Appropriate Mitigation Action In Indonesia</t>
  </si>
  <si>
    <t>Monitoring dan Evaluasi Program dan Kegiatan Peningkatan Kesejahteraan Sosial</t>
  </si>
  <si>
    <t>Fasilitasi Penelitian dan Pengembangan Daerah</t>
  </si>
  <si>
    <t>Penyusunan data dasar dan informasi pembangunan daerah</t>
  </si>
  <si>
    <t>Penyusunan Profil Daerah (Bangub)</t>
  </si>
  <si>
    <t>Sub Jml Bappeda</t>
  </si>
  <si>
    <t>1.07.01</t>
  </si>
  <si>
    <t>Dinas Perhubungan, Komunikasi dan Informatika</t>
  </si>
  <si>
    <t>01.006</t>
  </si>
  <si>
    <t>Pengadaan Pakaian Dinas beserta Kelengkapannya</t>
  </si>
  <si>
    <t>1.07.15</t>
  </si>
  <si>
    <t>Program Peningkatan Pelayanan Angkutan</t>
  </si>
  <si>
    <t>Pengelolaan Kebersihan Terminal</t>
  </si>
  <si>
    <t>Pelaksanaan Operasi Tehnis Laik Jalan</t>
  </si>
  <si>
    <t>Pengadaan Bahan Pengecatan PKB</t>
  </si>
  <si>
    <t>15.005</t>
  </si>
  <si>
    <t>Pemeliharaan dan Kalibrasi Alat Penguji Kendaraan Bermotor</t>
  </si>
  <si>
    <t>Penyusunan AMDAL Bandara Wirasaba</t>
  </si>
  <si>
    <t>Fasilitasi Pengembangan Bandara Wirasaba</t>
  </si>
  <si>
    <t>Revitalisasi dan Peningkatan Terminal Bobotsari, Kab. Purbalingga (Bangub)</t>
  </si>
  <si>
    <t>Pensertifikatan Tanah Areal Terminal Bobotsari</t>
  </si>
  <si>
    <t>1.07.16</t>
  </si>
  <si>
    <t>Program Peningkatan Manajemen dan Fasilitas Lalu Lintas</t>
  </si>
  <si>
    <t>Pengamanan Lalu Lintas dan Penyelenggaraan Angkutan Lebaran, Natal dan Tahun Baru</t>
  </si>
  <si>
    <t>Pemeliharaan Traffic Light dan Warning Light</t>
  </si>
  <si>
    <t>Pengadaan Fasilitas Keselamatan Jalan (DAK)</t>
  </si>
  <si>
    <t>16.005</t>
  </si>
  <si>
    <t>Fasilitasi  Forum LLAJ</t>
  </si>
  <si>
    <t>Pembinaan Perparkiran</t>
  </si>
  <si>
    <t>1.25.15</t>
  </si>
  <si>
    <t>Program Pengembangan Pemanfaatan Tekhnologi Komunikasi dan Informasi</t>
  </si>
  <si>
    <t>Pemeliharaan Website dan Jaringan Internet</t>
  </si>
  <si>
    <t>Penyediaan Sarana dan Prasarana Pendukung Teknologi Informasi Terintegrasi</t>
  </si>
  <si>
    <t>Pembinaan dan  Monitoring Pusat Layanan Internet Kecamatan (PLIK), MLIK  dan Warnet</t>
  </si>
  <si>
    <t>Fasilitasi Pembentukan Forum Media Tradisional dan Kelompok Informasi Masyarakat (KIM)</t>
  </si>
  <si>
    <t>15.006</t>
  </si>
  <si>
    <t>PPID</t>
  </si>
  <si>
    <t>15.007</t>
  </si>
  <si>
    <t>Pengadaan dan Pemeliharaan Perangkat LPSE</t>
  </si>
  <si>
    <t>Pengembangan Sistem Surat Elektronik</t>
  </si>
  <si>
    <t>Sub Jml Dinhubkominfo</t>
  </si>
  <si>
    <t>1.08.01</t>
  </si>
  <si>
    <t>Badan Lingkungan Hidup</t>
  </si>
  <si>
    <t>1.08.15</t>
  </si>
  <si>
    <t>Program Perlindungan dan Konservasi Sumber Daya Alam</t>
  </si>
  <si>
    <t>Perlindungan Fungsi Lingkungan Hidup (DAK)</t>
  </si>
  <si>
    <t>Pembinaan Generasi Muda Bidang Lingkungan Hidup (Saka Kalpataru)</t>
  </si>
  <si>
    <t>1.08.16</t>
  </si>
  <si>
    <t>Program Pengendalian Pencemaran dan Perusakan Lingkungan Hidup</t>
  </si>
  <si>
    <t>Pengendalian Pencemaran Air (DAK)</t>
  </si>
  <si>
    <t>Pengelolaan Laboratorium Lingkungan</t>
  </si>
  <si>
    <t>Pendukung Program Adipura</t>
  </si>
  <si>
    <t>Perbaikan dan Peningkatan Kualitas Sanitasi Lingkungan Permukiman</t>
  </si>
  <si>
    <t>Pemantauan Udara dari Sumber Tidak Bergerak Aktivitas Industri</t>
  </si>
  <si>
    <t>Pendukung Adiwiyata</t>
  </si>
  <si>
    <t>Pendukung Bank Sampah</t>
  </si>
  <si>
    <t>Sosialisasi Perda Perlindungan dan Pengelolaan Lingkungan Hidup (PPLH)</t>
  </si>
  <si>
    <t>Site Selection Calon Tempat Pemrosesan Akhir (TPA) Sampah</t>
  </si>
  <si>
    <t>Studi Kelayakan (FS) Tempat Pemrosesan Akhir (TPA) Sampah</t>
  </si>
  <si>
    <t>Pengadaan Alat Bor Biopori</t>
  </si>
  <si>
    <t>1.08.17</t>
  </si>
  <si>
    <t>Program Penyediaan dan Penyempurnaan Data dan Informasi Daerah</t>
  </si>
  <si>
    <t>Penyusunan Buku Status Lingkungan hidup Daerah (SLHD) Kab. Purbalingga Tahun 2014</t>
  </si>
  <si>
    <t>Pengadaan Sarana dan Prasarana Sistem Informasi Lingkungan Hidup (SILH)(DAK)</t>
  </si>
  <si>
    <t>Sub Jml BLH</t>
  </si>
  <si>
    <t>1.10.01</t>
  </si>
  <si>
    <t>Dinas Kependudukan dan Pencatatan Sipil</t>
  </si>
  <si>
    <t>1.10.15</t>
  </si>
  <si>
    <t>Program Penataan Administrasi Kependudukan</t>
  </si>
  <si>
    <t>Pelayanan Penerbitan Dokumen Kependudukan</t>
  </si>
  <si>
    <t>swakelola pilsung juksung</t>
  </si>
  <si>
    <t>PT AMG BN Tk. Ganesha Pbg perctkn aida</t>
  </si>
  <si>
    <t>Sosialisasi Kependudukan dan Pencatatan Sipil</t>
  </si>
  <si>
    <t>Pelaksanaan E-KTP Mandiri</t>
  </si>
  <si>
    <t>Pencatatan Peristiwa Kelahiran dalam Register</t>
  </si>
  <si>
    <t>Pelayanan Dokumen Pencatatan Sipil</t>
  </si>
  <si>
    <t>Pemeliharaan Jaringan Komunikasi Data</t>
  </si>
  <si>
    <t>Penyusunan Profil Kependudukan</t>
  </si>
  <si>
    <t>Pelayanan keliling pengurusan dan penerbitan Dokumen Kependudukan dan Pencatatan Sipil</t>
  </si>
  <si>
    <t>Sub Jml Dinpendukcapil</t>
  </si>
  <si>
    <t>1.12.01</t>
  </si>
  <si>
    <t>Badan Keluarga Berencana dan Pemberdayaan Perempuan</t>
  </si>
  <si>
    <t>1.11.15</t>
  </si>
  <si>
    <t>Program Pengarusutamaan Gender, Pemberdayaan Perempuan dan Perlindungan Anak</t>
  </si>
  <si>
    <t>Fasilitasi PUG dan Unit Pelayanan Terpadu Penanganan Korban Kekerasan Terhadap Perempuan dan Anak</t>
  </si>
  <si>
    <t>Pencegahan dan Penanganan Tindak Pidana Perdagangan Orang</t>
  </si>
  <si>
    <t>Pengembangan Kapasitas Forum Anak</t>
  </si>
  <si>
    <t>Penyusunan RAD Kabupaten Layak Anak dan Percontohan Desa/Kelurahan Layak Anak</t>
  </si>
  <si>
    <t>Penyusunan Profil Gender</t>
  </si>
  <si>
    <t>Sosialisasi Pencegahan Kekerasan Terhadap Anak</t>
  </si>
  <si>
    <t>Peningkatan Produktivitas Ekonomi Perempuan</t>
  </si>
  <si>
    <t>1.12.15</t>
  </si>
  <si>
    <t>Program Pemberdayaan Keluarga</t>
  </si>
  <si>
    <t>Pendataan Keluarga dan Kependudukan</t>
  </si>
  <si>
    <t>Pengembangan Cakupan dan Kualitas Kelompok UPPKS</t>
  </si>
  <si>
    <t>Pembinaan, Evaluasi, Pengembangan Cakupan dan Kualitas Kelompok BKS</t>
  </si>
  <si>
    <t>Peningkatan Kualitas dan Kuantitas KIE KB dan Advokasi Melalui Media Massa</t>
  </si>
  <si>
    <t>Pembinaan Pusat Informasi dan Konseling Remaja</t>
  </si>
  <si>
    <t>1.12.16</t>
  </si>
  <si>
    <t>Program Pembinaan dan Pengembangan Jaringan Institusi KB</t>
  </si>
  <si>
    <t>Bulan Bhakti KB-Kes Bhayangkara, Bakti Sosial TNI Terpadu dan Kesatuan Gerak PKK KB-Kesehatan</t>
  </si>
  <si>
    <t>Pembinaan Kelompok Prio Utomo</t>
  </si>
  <si>
    <t>Pembinaan Saka Kencana dan Lomba PLKB, PPKBD, Sub.PPKBD serta Kelompok Prio Utomo</t>
  </si>
  <si>
    <t>1.12.17</t>
  </si>
  <si>
    <t>Program Peningkatan Pelayanan, Perlindungan dan Pembinaan Kepesertaan KB</t>
  </si>
  <si>
    <t>Penyediaan sarana dan prasarana KB (DAK)</t>
  </si>
  <si>
    <t>Peningkatan Pelayanan Pembinaan Peserta KB Aktif dan Peserta KB Baru</t>
  </si>
  <si>
    <t>17.003</t>
  </si>
  <si>
    <t>Pengadaan BKB Kit (DAK)</t>
  </si>
  <si>
    <t>Peningkatan perlindungan Terhadap Efek Samping / Kegagalan KB</t>
  </si>
  <si>
    <t>Sub Jml BKBPP</t>
  </si>
  <si>
    <t>1.13.01</t>
  </si>
  <si>
    <t>Pelaksana Badan Penanggulangan Bencana Daerah</t>
  </si>
  <si>
    <t>1.13.17</t>
  </si>
  <si>
    <t>Program Penanggulangan Bencana</t>
  </si>
  <si>
    <t>Simulasi Penanganan Bencana</t>
  </si>
  <si>
    <t>17.005</t>
  </si>
  <si>
    <t>Fasilitasi Penanganan Darurat/Pemulihan Awal Bencana</t>
  </si>
  <si>
    <t>Fasilitasi Rehabilitasi dan Rekonstruksi Pasca Bencana</t>
  </si>
  <si>
    <t>Pelatihan dan Sosialisasi Budaya Sadar Bencana</t>
  </si>
  <si>
    <t>Pengadaan Stock Logistik Menghadapi Darurat Bencana</t>
  </si>
  <si>
    <t>Fasilitasi Pusat Pengendalian Operasi (PUSDALOP)</t>
  </si>
  <si>
    <t>Peninggian Badan Jalan untuk Penanggulangan Banjir Desa Cilapar Kecamatan Kaligondang</t>
  </si>
  <si>
    <t>Penanggulangan Erosi Sungai Sawangan Desa Bukateja Kec. Bukateja</t>
  </si>
  <si>
    <t>Perbaikan Talud Sungai Gemuruh Kelurahan Purbalingga Lor</t>
  </si>
  <si>
    <t>Pengadaan Mobil Pemadam Kebakaran</t>
  </si>
  <si>
    <t>Pengadaan Sarana dan Prasarana Gudang Logistik</t>
  </si>
  <si>
    <t>Penanganan Longsor Jalan Selakambang - Sidareja</t>
  </si>
  <si>
    <t>Penanganan Longsor SD Negeri 1 Karangbawang</t>
  </si>
  <si>
    <t>Penangana Longsor Jalan dan Jembatan Kali Brangsong Ruas Jalan Timbang - Langgar Kec. Kejobong</t>
  </si>
  <si>
    <t>Sub Jml BPBD</t>
  </si>
  <si>
    <t>1.14.01</t>
  </si>
  <si>
    <t>Dinas Sosial, Tenaga Kerja dan Transmigrasi</t>
  </si>
  <si>
    <t>1.14.16</t>
  </si>
  <si>
    <t>Program Pembinaan Kesejahteraan Sosial, Rehabilitasi Sosial, dan Penanganan Keluarga Miskin</t>
  </si>
  <si>
    <t>Pembinaan Anak Terlantar Luar Panti dan Petirahan Anak</t>
  </si>
  <si>
    <t>Pembinaan Wanita Rawan Sosial Ekonomi ( WRSE ) dan Asistensi Keluarga Miskin (AKM)</t>
  </si>
  <si>
    <t>Pendataan dan Penanganan PMKS</t>
  </si>
  <si>
    <t>Bimbingan  Sosial dan Pelatihan bagi Pengemis, Gelandangan, Orang Terlantar, Anak Jalanan, Anak Nakal, Korban Narkoba dan Ex Napi</t>
  </si>
  <si>
    <t>Pelayanan dan Rehabilitasi Penyandang  Cacat</t>
  </si>
  <si>
    <t>Porseni Penyandang Cacat</t>
  </si>
  <si>
    <t>Bulan Bhakti Karang Taruna</t>
  </si>
  <si>
    <t>16.008</t>
  </si>
  <si>
    <t>Fasilitasi PKH</t>
  </si>
  <si>
    <t>Fasilitasi Program Keserasian Sosial Berbasis Masyarakat ( KSBM )</t>
  </si>
  <si>
    <t>Fasilitasi Program Bantuan Jaminan Sosial Lanjut Usia dan Orang dengan Kecacatan Berat</t>
  </si>
  <si>
    <t>Pembinaan Panti Sosial dan Panti Rehabilitasi</t>
  </si>
  <si>
    <t>1.14.17</t>
  </si>
  <si>
    <t>Penyaluran Bantuan Bencana Alam dan Bencana Sosial</t>
  </si>
  <si>
    <t>01.004</t>
  </si>
  <si>
    <t>Pemeliharaan TMP</t>
  </si>
  <si>
    <t>1.14.15</t>
  </si>
  <si>
    <t>Program Pembinaan, Peningkatan Ketrampilan dan Penempatan Tenaga Kerja</t>
  </si>
  <si>
    <t>Bursa Kerja</t>
  </si>
  <si>
    <t>Fasilitasi Penempatan Tenaga Kerja AKAD</t>
  </si>
  <si>
    <t>Fasilitasi Penempatan Tenaga Kerja AKAN</t>
  </si>
  <si>
    <t>Pelatihan Bagi Calon Tenaga Kerja</t>
  </si>
  <si>
    <t>Pemeriksaan Kesehatan Pekerja Pabrik</t>
  </si>
  <si>
    <t>Pengelolaan BLK</t>
  </si>
  <si>
    <t>Penyelenggaraan Pelatihan di BLK (DBH-CHT)</t>
  </si>
  <si>
    <t>Pengadaan Sarana dan Prasarana Balai Latihan Kerja (DBH-CHT)</t>
  </si>
  <si>
    <t>Program Peningkatan Perlindungan Tenaga Kerja dan Pengembangan Hubungan Industrial</t>
  </si>
  <si>
    <t>Fasilitasi Dewan Pengupahan dan Survey Kebutuhan Hidup Layak</t>
  </si>
  <si>
    <t>Pelatihan Produktivitas Tenaga Kerja</t>
  </si>
  <si>
    <t>Pemberdayaan Keselamatan dan Kesehatan Kerja</t>
  </si>
  <si>
    <t>Pemberdayaan Sarana Hubungan Industrial</t>
  </si>
  <si>
    <t>Pengawasan Tenaga Kerja AKAD</t>
  </si>
  <si>
    <t>2.08.15</t>
  </si>
  <si>
    <t>Program Ketransmigrasian</t>
  </si>
  <si>
    <t>Fasilitasi Pemindahan Transmigrasi</t>
  </si>
  <si>
    <t>Sosialisasi Ketransmigrasian</t>
  </si>
  <si>
    <t>Sub Jml Dinsosnakertrans</t>
  </si>
  <si>
    <t>1.15.01</t>
  </si>
  <si>
    <t>Dinas Perindustrian, Perdagangan dan Koperasi</t>
  </si>
  <si>
    <t>1.15.15</t>
  </si>
  <si>
    <t>Program Penumbuhan, Pengembangan, dan Peningkatan Kualitas Manajemen Koperasi</t>
  </si>
  <si>
    <t>Fasilitasi dan Pembinaan Usaha Koperasi</t>
  </si>
  <si>
    <t>Peningkatan Kualitas SDM Koperasi</t>
  </si>
  <si>
    <t>Pengembangan Kelembagaan Perkoperasian</t>
  </si>
  <si>
    <t>Peringatan Hari Koperasi</t>
  </si>
  <si>
    <t>Fasilitasi dan Pengawasan Kinerja Koperasi</t>
  </si>
  <si>
    <t>Pelatihan Manajemen Berbasis Kompetensi</t>
  </si>
  <si>
    <t>1.15.17</t>
  </si>
  <si>
    <t>Program Penumbuhan dan Pengembangan UMKM</t>
  </si>
  <si>
    <t>Fasilitasi Sertifikat Hak Atas Tanah (HAT) Bagi UMKM</t>
  </si>
  <si>
    <t>Fasilitasi Penerbitan Sertifikasi Kesehatan Bagi UMKM Makanan Olahan</t>
  </si>
  <si>
    <t>Peningkatan Produktivitas Usaha Mikro, Kecil dan Menengah</t>
  </si>
  <si>
    <t>Fasilitasi Temu Usaha Pelaku UMKM</t>
  </si>
  <si>
    <t>Gelar Produk UMKM</t>
  </si>
  <si>
    <t>17.010</t>
  </si>
  <si>
    <t>Roadshow Workshop Kewirausahaan</t>
  </si>
  <si>
    <t>17.012</t>
  </si>
  <si>
    <t>Fasilitasi Griya UMKM</t>
  </si>
  <si>
    <t>17.013</t>
  </si>
  <si>
    <t>Pelatihan Manajemen</t>
  </si>
  <si>
    <t>17.014</t>
  </si>
  <si>
    <t>Pelatihan Peningkatan Kapasitas SDM Pelaku UMKM (DBH-CHT)</t>
  </si>
  <si>
    <t>17.015</t>
  </si>
  <si>
    <t>Fasilitasi Bantuan Kemasan bagi UMKM Makanan Olahan (DBH-CHT)</t>
  </si>
  <si>
    <t>1.20.19</t>
  </si>
  <si>
    <t>Program Intensifikasi dan Ekstensifikasi Pendapatan Daerah</t>
  </si>
  <si>
    <t>Intensifikasi dan Ekstensifikasi Pengelolaan PAD</t>
  </si>
  <si>
    <t>2.06.15</t>
  </si>
  <si>
    <t>Program Peningkatan Efisiensi Perdagangan</t>
  </si>
  <si>
    <t>Fasilitasi Pasar Lelang dan Pasar Murah</t>
  </si>
  <si>
    <t>Pengawasan dan Pengendalian Distribusi Barang Penting dan Strategis</t>
  </si>
  <si>
    <t>Rehabilitasi Pasar Tradisional</t>
  </si>
  <si>
    <t>Monitoring dan Penyebarluasan Informasi Pasar</t>
  </si>
  <si>
    <t>Pengelolaan dan Pemeliharaan Pasar</t>
  </si>
  <si>
    <t>Pengelolaan dan Pemeliharaan Pasar Segamas</t>
  </si>
  <si>
    <t>Fasilitasi Badan Penyelesaian Sengketa Konsumen/ BPSK</t>
  </si>
  <si>
    <t>Pelatihan Prosedur Ekspor Bagi UKM Berorientasi Ekspor</t>
  </si>
  <si>
    <t>Pembangunan Masjid Pasar Segamas</t>
  </si>
  <si>
    <t>15.016</t>
  </si>
  <si>
    <t>Penyediaan Shelter Pasar Bobotsari</t>
  </si>
  <si>
    <t>Revitalisasi Pasar Tradisional Bobotsari Kab. Purbalingga (Bangub)</t>
  </si>
  <si>
    <t>Redesain Pasar Tradisional Bobotsari</t>
  </si>
  <si>
    <t>2.06.16</t>
  </si>
  <si>
    <t>Program Perlindungan Konsumen dan Pengamanan Perdagangan</t>
  </si>
  <si>
    <t>Peningkatan Pengawasan Peredaran Barang</t>
  </si>
  <si>
    <t>2.07.15</t>
  </si>
  <si>
    <t>Program Pengembangan Sentra Industri Potensial</t>
  </si>
  <si>
    <t>Fasilitasi Peningkatan Pelayanan UPTD Logam dan LIK Logam</t>
  </si>
  <si>
    <t>Fasilitasi Peningkatan Sarana Tempat Usaha Industri Kecil</t>
  </si>
  <si>
    <t>Pelatihan Industri Kecil Menengah Sapu Glagah (DBH-CHT)</t>
  </si>
  <si>
    <t>Fasilitasi Peningkatan Sarana Produksi &amp; Bantuan Peralatan Industri Mebelair &amp; Konveksi (DBH-CHT)</t>
  </si>
  <si>
    <t>2.07.16</t>
  </si>
  <si>
    <t>Program Peningkatan Kapasitas Iptek dalam Sistem Produksi Industri Kecil dan Menengah</t>
  </si>
  <si>
    <t>Pengembangan Kualitas Gula Kelapa Organik (DBH CHT)</t>
  </si>
  <si>
    <t>Fasilitasi Peningkatan Kualitas Produk Kerajinan Batu Mulia Klawing (DBH-CHT)</t>
  </si>
  <si>
    <t>Fasilitasi Peningkatan Kualitas Produk Batik Khas Purbalingga (DBH-CHT)</t>
  </si>
  <si>
    <t>Sub Jml Dinperindagkop</t>
  </si>
  <si>
    <t>1.16.01</t>
  </si>
  <si>
    <t>Kantor Penanaman Modal dan  Perizinan Terpadu</t>
  </si>
  <si>
    <t>01.029</t>
  </si>
  <si>
    <t>Penyusunan Naskah Akademik Raperda</t>
  </si>
  <si>
    <t>1.16.15</t>
  </si>
  <si>
    <t>Program Promosi dan Pemasaran Potensi Daerah serta Fasilitasi Investasi</t>
  </si>
  <si>
    <t>Promosi dan Pemasaran Potensi Daerah</t>
  </si>
  <si>
    <t>Business Gathering (Temu Bisnis)</t>
  </si>
  <si>
    <t>Updating Buku Induk Penanaman Modal</t>
  </si>
  <si>
    <t>1.16.16</t>
  </si>
  <si>
    <t>Program Peningkatan Pelayanan Perizinan</t>
  </si>
  <si>
    <t>Pemeriksaan dan Pengawasan Obyek dan Subyek Retribusi Perizinan</t>
  </si>
  <si>
    <t>1.24.15</t>
  </si>
  <si>
    <t>Program Peningkatan dan Pengelolaan Sistem Administrasi Kearsipan</t>
  </si>
  <si>
    <t>Akuisisi Arsip</t>
  </si>
  <si>
    <t>Sub Jml KPMPT</t>
  </si>
  <si>
    <t>1.19.01</t>
  </si>
  <si>
    <t>Kantor Kesatuan Bangsa dan Politik</t>
  </si>
  <si>
    <t>1.19.15</t>
  </si>
  <si>
    <t>Program Peningkatan Keamanan, Ketertiban, dan Perlindungan Masyarakat</t>
  </si>
  <si>
    <t>Pengamanan Tertutup Lebaran, Natal, Tahun Baru dan Tamu VVIP</t>
  </si>
  <si>
    <t>Pemberdayaan Badan Koordinasi dan Informasi</t>
  </si>
  <si>
    <t>Keamanan Terpadu</t>
  </si>
  <si>
    <t>1.19.16</t>
  </si>
  <si>
    <t>Program Fasilitasi dan Pembinaan Kehidupan Sosial Politik</t>
  </si>
  <si>
    <t>Pengelolaan Bantuan Keuangan Kepada Partai Politik dan Fasilitasi Kegiatan Partai Politik.</t>
  </si>
  <si>
    <t>Forum Komunikasi Umat Beragama (FKUB)</t>
  </si>
  <si>
    <t>Fasilitasi Kegiatan Ormas, LSM, dan Pemantauan Aspirasi Masyarakat</t>
  </si>
  <si>
    <t>Fasilitasi Kegiatan Organisasi Politik dan Penyusunan Data serta Peta Partai Politik</t>
  </si>
  <si>
    <t>Forum Kewaspadaan Dini Masyarakat</t>
  </si>
  <si>
    <t>Fasilitasi Program Kerjasama Pemda dengan Ormas, LSM, dan Lembaga Nirlaba Lainnya.</t>
  </si>
  <si>
    <t>1.19.17</t>
  </si>
  <si>
    <t>Program Pembinaan Wawasan Kebangsaan</t>
  </si>
  <si>
    <t>Sarasehan Pembauran Etnis</t>
  </si>
  <si>
    <t>Pembekalan Wawasan Kebangsaan</t>
  </si>
  <si>
    <t>Fasilitasi Tim Terpadu Gangguan Keamanan</t>
  </si>
  <si>
    <t>Desk Pilkada</t>
  </si>
  <si>
    <t>Desk Pilkades</t>
  </si>
  <si>
    <t>1.19.19</t>
  </si>
  <si>
    <t>Program Pencegahan dan Pemberantasan Penyalahgunaan dan Peredaran Gelap Narkoba</t>
  </si>
  <si>
    <t>Fasilitasi pencegahan dan pemberantasan penyalahgunaan dan peredaran gelap narkoba</t>
  </si>
  <si>
    <t>Sub Jml Kesbangpol</t>
  </si>
  <si>
    <t>1.19.02</t>
  </si>
  <si>
    <t>Satuan Polisi Pamong Praja</t>
  </si>
  <si>
    <t>Pembinaan dan Penertiban Pedagang Kaki Lima (PKL)</t>
  </si>
  <si>
    <t>Pemantauan Daerah Rawan Bencana dan Kejadian Bencana</t>
  </si>
  <si>
    <t>Pelatihan Satuan Perlindungan Masyarakat Inti (Satlinmas Inti)</t>
  </si>
  <si>
    <t>Razia Anak Sekolah</t>
  </si>
  <si>
    <t>Patroli Terpadu</t>
  </si>
  <si>
    <t>15.012</t>
  </si>
  <si>
    <t>Pengamanan Lebaran, Natal, Tahun Baru, dan Tamu VIP</t>
  </si>
  <si>
    <t>15.013</t>
  </si>
  <si>
    <t>Pengamanan Pemilihan Kepala Daerah Tahap I</t>
  </si>
  <si>
    <t>15.014</t>
  </si>
  <si>
    <t>Pengamanan Pemilihan Kepala Daerah Tahap II</t>
  </si>
  <si>
    <t>Pengamanan Pilkades</t>
  </si>
  <si>
    <t>1.19.18</t>
  </si>
  <si>
    <t>Program Pembinaan dan Penegakan Peraturan Daerah</t>
  </si>
  <si>
    <t>Pembinaan Peningkatan Kemampuan dan Pembekalan Tugas bagi Anggota Penyidik Pegawai Negeri Sipil (PPNS)</t>
  </si>
  <si>
    <t>Penertiban Pelanggaran Hukum terhadap Ketentuan Pidana Perda dan Peraturan Kepala Daerah</t>
  </si>
  <si>
    <t>Pengawasan dan Pemberantasan Barang Kena Cukai Illegal (DBHCHT)</t>
  </si>
  <si>
    <t>Razia Reklame</t>
  </si>
  <si>
    <t>Sub Jml Satpol PP</t>
  </si>
  <si>
    <t>1.20.03</t>
  </si>
  <si>
    <t>Sekretariat Daerah</t>
  </si>
  <si>
    <t>Pemeliharaan dan Pengadaan Lampu Hias</t>
  </si>
  <si>
    <t>Pensertifikatan Tanah-tanah Pemda.</t>
  </si>
  <si>
    <t>Penyusunan Data Base Tanah-Tanah Pemda</t>
  </si>
  <si>
    <t>Fasilitasi lelang dan Pembayaran PBB tanah eks bengkok kelurahan</t>
  </si>
  <si>
    <t>Penyusunan Identifikasi Rupa Bumi</t>
  </si>
  <si>
    <t>Pemberdayaan Keluarga Melalui Organisasi Wanita</t>
  </si>
  <si>
    <t>1.13.15</t>
  </si>
  <si>
    <t>Program Pembinaan Kehidupan Beragama</t>
  </si>
  <si>
    <t>Pelayanan Ibadah Haji</t>
  </si>
  <si>
    <t>Religius Keagamaan</t>
  </si>
  <si>
    <t>Tarweh Keliling dan Buka Puasa Bersama</t>
  </si>
  <si>
    <t>Pembinaan Olahraga Jumat Pagi, Minggu Pagi dan Olahraga Lainnya</t>
  </si>
  <si>
    <t>Pengendalian Bidang Kesejahteraan</t>
  </si>
  <si>
    <t>1.17.15</t>
  </si>
  <si>
    <t>Program Pelestarian dan Pengembangan Budaya Daerah</t>
  </si>
  <si>
    <t>Apresiasi Seni</t>
  </si>
  <si>
    <t>1.20.01</t>
  </si>
  <si>
    <t>01.009</t>
  </si>
  <si>
    <t>Penyusunan LAKIP dan Penetapan Kinerja Setda</t>
  </si>
  <si>
    <t>01.028</t>
  </si>
  <si>
    <t>Pengadaan Kendaraan Dinas</t>
  </si>
  <si>
    <t>1.20.16</t>
  </si>
  <si>
    <t>Program Penguatan Kelembagaan dan Ketatalaksanaan Pemerintahan Daerah</t>
  </si>
  <si>
    <t>Fasilitasi Pelayanan Kegiatan Kepala Daerah</t>
  </si>
  <si>
    <t>Fasilitasi Pelayanan Kegiatan  Wakil Kepala Daerah</t>
  </si>
  <si>
    <t>Pemeliharaan Sarana dan Prasarana Kepala Daerah</t>
  </si>
  <si>
    <t>Pemeliharaan Sarana dan Prasarana Wakil Kepala Daerah</t>
  </si>
  <si>
    <t>Pengadaan Perlengkapan Rumah Jabatan Kepala Daerah</t>
  </si>
  <si>
    <t>Pengadaan Perlengkapan Rumah Jabatan Wakil Kepala Daerah</t>
  </si>
  <si>
    <t>Penyusunan Satuan Standar Harga</t>
  </si>
  <si>
    <t>Evaluasi Kelembagaan</t>
  </si>
  <si>
    <t>Monitoring dan Evaluasi Penyelenggraan Pelayanan Publik</t>
  </si>
  <si>
    <t>Pengukuran Indeks Kepuasan Masyarakat</t>
  </si>
  <si>
    <t>Pembinaan Jasa Konstruksi</t>
  </si>
  <si>
    <t>16.013</t>
  </si>
  <si>
    <t>Penyelenggaraan Forum Komunikasi Pendayagunaan Aparatur Negara Daerah (FORKOMPANDA)</t>
  </si>
  <si>
    <t>Pengendalian dan Koordinasi Bidang Organisasi dan Kepegawaian</t>
  </si>
  <si>
    <t>Fasilitasi Unit Layanan Pengadaan</t>
  </si>
  <si>
    <t>Bintek dan Sertifikasi Pengadaan Barang dan Jasa</t>
  </si>
  <si>
    <t>16.022</t>
  </si>
  <si>
    <t>Rakor POK Kabupaten</t>
  </si>
  <si>
    <t>Monitoring dan Evaluasi Pelaksanaan Pembangunan</t>
  </si>
  <si>
    <t>Fasilitasi Pengadaan dan Penggunaan Tanah Pemerintah</t>
  </si>
  <si>
    <t>Evaluasi Jabatan</t>
  </si>
  <si>
    <t>Asistensi Validasi Analisis Jabatan dan ABK PNS</t>
  </si>
  <si>
    <t>Evaluasi Pelaksanaan Program 5 Hari Kerja</t>
  </si>
  <si>
    <t>1.20.17</t>
  </si>
  <si>
    <t>Program Penataan Kelembagaan dan Peningkatan Kapasitas Kelembagaan dan Ketatalaksanaan Pemerintah di Daerah</t>
  </si>
  <si>
    <t>Peningkatan Koordinasi Pimpinan Daerah</t>
  </si>
  <si>
    <t>Pengendalian dan Koordinasi Bidang Tata Pemerintahan</t>
  </si>
  <si>
    <t>Penyelenggaraan Rapat Koordinasi Pemerintah Tingkat Kabupaten</t>
  </si>
  <si>
    <t>1.20.20</t>
  </si>
  <si>
    <t>Program Penyusunan Produk Hukum serta Pembinaan dan Pelayanan Hukum</t>
  </si>
  <si>
    <t>Bantuan dan Konsultasi Hukum</t>
  </si>
  <si>
    <t>Penyusunan dan Sinkronisasi Produk Hukum Daerah</t>
  </si>
  <si>
    <t>20.003</t>
  </si>
  <si>
    <t>Fasilitasi RANHAM</t>
  </si>
  <si>
    <t>20.004</t>
  </si>
  <si>
    <t>Pembekalan Teknis Penyelesaian Sengketa Hukum di Masyarakat</t>
  </si>
  <si>
    <t>20.005</t>
  </si>
  <si>
    <t>Penyusunan Himpunan Produk Hukum dan Abstrak Peraturan Daerah</t>
  </si>
  <si>
    <t>20.008</t>
  </si>
  <si>
    <t>Penerbitan Peraturan Perundang-undangan Daerah</t>
  </si>
  <si>
    <t>20.010</t>
  </si>
  <si>
    <t>Pengadaan Buku Peraturan Perundang-undangan</t>
  </si>
  <si>
    <t>20.012</t>
  </si>
  <si>
    <t>Pengawasan Pelaksanaan Peraturan Daerah</t>
  </si>
  <si>
    <t>20.013</t>
  </si>
  <si>
    <t>Pengawasan Represif Produk hukum Pemerintahan Desa</t>
  </si>
  <si>
    <t>20.014</t>
  </si>
  <si>
    <t>Pengendalian dan Koordinasi Bidang Hukum dan HAM</t>
  </si>
  <si>
    <t>20.015</t>
  </si>
  <si>
    <t>Penyediaan, Penyempurnaan dan Pengelolaan SJDI Hukum</t>
  </si>
  <si>
    <t>20.016</t>
  </si>
  <si>
    <t>Penyuluhan Hukum kepada Masyarakat dan Kadarkum</t>
  </si>
  <si>
    <t>20.018</t>
  </si>
  <si>
    <t>Sosialisasi Barang Kena cukai dan Pemberantasan Barang Kena Cukai Ilegal (DBH-CHT)</t>
  </si>
  <si>
    <t>1.20.22</t>
  </si>
  <si>
    <t>Program Peningkatan Kualitas Administrasi Pemerintahan Daerah</t>
  </si>
  <si>
    <t>Penyusunan Laporan Keterangan Pertanggungjawaban Bupati.</t>
  </si>
  <si>
    <t>Penyusunan Laporan Penyelenggaraan Pemerintahan Daerah dan Informasi Laporan Penyelenggaraan Pemerintahan Daerah.</t>
  </si>
  <si>
    <t>22.004</t>
  </si>
  <si>
    <t>Fasilitasi Penyelenggaraan PATEN di Kabupaten Purbalingga</t>
  </si>
  <si>
    <t>22.005</t>
  </si>
  <si>
    <t>Penyusunan Laporan Keterangan Pertanggungjawaban Bupati Akhir Masa Jabatan</t>
  </si>
  <si>
    <t>22.006</t>
  </si>
  <si>
    <t>Penyusunan LPPD dan ILPPD Akhir Masa Jabatan</t>
  </si>
  <si>
    <t>22.007</t>
  </si>
  <si>
    <t>Penyusunan Buku Memory Akhir Masa Jabatan</t>
  </si>
  <si>
    <t>22.008</t>
  </si>
  <si>
    <t>Penyusunan Design Prototype Kantor dan Pendopo Kelurahan</t>
  </si>
  <si>
    <t>22.009</t>
  </si>
  <si>
    <t>Pengadaan Alat Ukur Tanah</t>
  </si>
  <si>
    <t>1.20.27</t>
  </si>
  <si>
    <t>Program Pembinaan Kelembagaan dan Ketatalaksanaan Pemerintahan Desa</t>
  </si>
  <si>
    <t>27.001</t>
  </si>
  <si>
    <t>Diklat Administrasi Pemerintahan Desa untuk Kepala Desa</t>
  </si>
  <si>
    <t>27.002</t>
  </si>
  <si>
    <t>Pemilihan Kepala Desa</t>
  </si>
  <si>
    <t>27.003</t>
  </si>
  <si>
    <t>Fasilitasi Penyelenggaraan Pemerintahan Desa</t>
  </si>
  <si>
    <t>27.004</t>
  </si>
  <si>
    <t>Fasilitasi Bantuan Keuangan Provinsi Jawa Tengah Kepada Desa</t>
  </si>
  <si>
    <t>Fasilitasi Evaluasi Produk Hukum Pemerintahan Desa</t>
  </si>
  <si>
    <t>Program Legislasi Daerah (Penyusunan Perda Tentang Desa)</t>
  </si>
  <si>
    <t>1.20.28</t>
  </si>
  <si>
    <t>Program Peningkatan Koordinasi Penyelenggaraan Pemerintahan dan Pembangunan Daerah.</t>
  </si>
  <si>
    <t>28.001</t>
  </si>
  <si>
    <t>Fasilitasi Tim Koordinasi Konversi LPG 3 Kg</t>
  </si>
  <si>
    <t>28.002</t>
  </si>
  <si>
    <t>Pengawasan Pupuk dan Pestisida</t>
  </si>
  <si>
    <t>28.003</t>
  </si>
  <si>
    <t>Fasilitasi Program Subsidi Bunga</t>
  </si>
  <si>
    <t>28.004</t>
  </si>
  <si>
    <t>Pengendalian dan Koordinasi Bidang Perekonomian</t>
  </si>
  <si>
    <t>28.005</t>
  </si>
  <si>
    <t>Pengumpulan Informasi dan Koordinasi Penggunaan DBHCHT</t>
  </si>
  <si>
    <t>28.006</t>
  </si>
  <si>
    <t>Fasilitasi Kegiatan Dekranasda dan Promosi Potensi Daerah</t>
  </si>
  <si>
    <t>28.007</t>
  </si>
  <si>
    <t>Fasilitasi Tim Koordinasi Penyaluran KUR</t>
  </si>
  <si>
    <t>28.010</t>
  </si>
  <si>
    <t>Peningkatan Kapasitas BUMD</t>
  </si>
  <si>
    <t>1.25.16</t>
  </si>
  <si>
    <t>Program Peningkatan Pelayanan Informasi Publik</t>
  </si>
  <si>
    <t>Dialog Bupati Melalui TV dan Radio</t>
  </si>
  <si>
    <t>Konferensi Pers dan Peliputan</t>
  </si>
  <si>
    <t>Peningkatan Kualitas  Fungsi Bakohumas</t>
  </si>
  <si>
    <t>Media Tour/ Pers Tour</t>
  </si>
  <si>
    <t>Sosialisasi Kebijakan Pemkab Melalui Media Cetak dan Elektronik</t>
  </si>
  <si>
    <t>Fasilitasi Penerbitan dan Pengembangan Media Cetak Milik Pemerintah</t>
  </si>
  <si>
    <t>Pengadaan dan Pemeliharaan Peralatan Sandi dan Telekomunikasi</t>
  </si>
  <si>
    <t>Publikasi dan Dokumentasi Kegiatan Pemerintah Kabupaten</t>
  </si>
  <si>
    <t>Penyusunan Naskah Kebijakan Pemkab</t>
  </si>
  <si>
    <t>Pengadaan Alat Dokumentasi dan Shooting</t>
  </si>
  <si>
    <t>Promosi Potensi Daerah</t>
  </si>
  <si>
    <t>Pengendalian dan Koordinasi Bidang Humas</t>
  </si>
  <si>
    <t>1.20.15</t>
  </si>
  <si>
    <t>1.20.05</t>
  </si>
  <si>
    <t>Dinas Pendapatan, Pengelolaan Keuangan dan Aset Daerah</t>
  </si>
  <si>
    <t>1.20.18</t>
  </si>
  <si>
    <t>Program Peningkatan Kualitas Pengelolaan Keuangan dan Aset Daerah</t>
  </si>
  <si>
    <t>Penyusunan APBD</t>
  </si>
  <si>
    <t>Penyusunan Perubahan  APBD</t>
  </si>
  <si>
    <t>Penyusunan Sistem dan Prosedur Tata Usaha Keuangan</t>
  </si>
  <si>
    <t>Fasilitasi Penatausahaan Keuangan Daerah</t>
  </si>
  <si>
    <t>Fasilitasi Kegiatan Perimbangan Keuangan</t>
  </si>
  <si>
    <t>Pembinaan Berkala Bendahara Daerah</t>
  </si>
  <si>
    <t>Pengelolaan Aset Daerah</t>
  </si>
  <si>
    <t>Penyusunan Laporan Keuangan Daerah</t>
  </si>
  <si>
    <t>18.012</t>
  </si>
  <si>
    <t>Sinkronisasi dan Pemutakhiran Data Aset</t>
  </si>
  <si>
    <t>18.013</t>
  </si>
  <si>
    <t>Pengamanan Aset Daerah</t>
  </si>
  <si>
    <t>Bintek Sistem Informasi Barang Daerah</t>
  </si>
  <si>
    <t>Intensifikasi dan Ekstensifikasi Pengelolaan Pendapatan Daerah</t>
  </si>
  <si>
    <t>Percepatan Pelunasan PBB</t>
  </si>
  <si>
    <t>Operasional Pengelolaan PBB</t>
  </si>
  <si>
    <t>Pemutakhiran Data Obyek Subyek PBB-P2</t>
  </si>
  <si>
    <t>Sub Jml  DPPKAD</t>
  </si>
  <si>
    <t>1.20.06</t>
  </si>
  <si>
    <t>Inspektorat</t>
  </si>
  <si>
    <t>1.20.26</t>
  </si>
  <si>
    <t>Program Pengawasan Pemerintahan dan Pembangunan</t>
  </si>
  <si>
    <t>26.001</t>
  </si>
  <si>
    <t>Tes Uji Laboratorium</t>
  </si>
  <si>
    <t>26.002</t>
  </si>
  <si>
    <t>26.003</t>
  </si>
  <si>
    <t>Implementasi SPIP</t>
  </si>
  <si>
    <t>26.004</t>
  </si>
  <si>
    <t>Penilaian Mandiri Pelaksanaan Reformasi Birokrasi</t>
  </si>
  <si>
    <t>26.005</t>
  </si>
  <si>
    <t>Penetapan Zona Integritas Bebas Korupsi</t>
  </si>
  <si>
    <t>Sub Jml Inspektorat</t>
  </si>
  <si>
    <t>1.20.08</t>
  </si>
  <si>
    <t>Kecamatan Kemangkon</t>
  </si>
  <si>
    <t>1.20.21</t>
  </si>
  <si>
    <t>Rehab Bagian Atas Rumah Dinas Kecamatan Kemangkon</t>
  </si>
  <si>
    <t>1.20.23</t>
  </si>
  <si>
    <t>Program Pengembangan Wilayah</t>
  </si>
  <si>
    <t>Monitoring dan Koordinasi Wilayah Kecamatan</t>
  </si>
  <si>
    <t>Sub Jml Kecamatan Kemangkon</t>
  </si>
  <si>
    <t>1.20.09</t>
  </si>
  <si>
    <t>Kecamatan Bukateja</t>
  </si>
  <si>
    <t>Sub Jml Kecamatan Bukateja</t>
  </si>
  <si>
    <t>1.20.10</t>
  </si>
  <si>
    <t>Kecamatan Kejobong</t>
  </si>
  <si>
    <t>Sub Jml Kecamatan Kejobong</t>
  </si>
  <si>
    <t>1.20.11</t>
  </si>
  <si>
    <t>Kecamatan Kaligondang</t>
  </si>
  <si>
    <t>Sub Jml Kecamatan Kaligondang</t>
  </si>
  <si>
    <t>1.20.12</t>
  </si>
  <si>
    <t>Kecamatan Purbalingga</t>
  </si>
  <si>
    <t>Sub Jml Kecamatan Purbalingga</t>
  </si>
  <si>
    <t>1.20.13</t>
  </si>
  <si>
    <t>Kecamatan Kalimanah</t>
  </si>
  <si>
    <t>Sub Jml Kecamatan Kalimanah</t>
  </si>
  <si>
    <t>1.20.14</t>
  </si>
  <si>
    <t>Kecamatan Kutasari</t>
  </si>
  <si>
    <t>Sub Jml Kecamatan Kutasari</t>
  </si>
  <si>
    <t>Kecamatan Mrebet</t>
  </si>
  <si>
    <t>Sub Jml Kecamatan Mrebet</t>
  </si>
  <si>
    <t>Kecamatan Bobotsari</t>
  </si>
  <si>
    <t>21.012</t>
  </si>
  <si>
    <t>Pembangunan Halaman kantor Kecamatan Bobotsari</t>
  </si>
  <si>
    <t>Sub Jml Kecamatan Bobotsari</t>
  </si>
  <si>
    <t>Kecamatan Karangreja</t>
  </si>
  <si>
    <t>17.021</t>
  </si>
  <si>
    <t>21.020</t>
  </si>
  <si>
    <t>Pembangunan Talud dan Pagar Keliling Kec. Karangreja</t>
  </si>
  <si>
    <t>Sub Jml Kecamatan Karangreja</t>
  </si>
  <si>
    <t>Kecamatan Karanganyar</t>
  </si>
  <si>
    <t>Sub Jml Kecamatan Karanganyar</t>
  </si>
  <si>
    <t>Kecamatan Karangmoncol</t>
  </si>
  <si>
    <t>Sub Jml Kecamatan Karangmoncol</t>
  </si>
  <si>
    <t>Kecamatan Rembang</t>
  </si>
  <si>
    <t>021.16</t>
  </si>
  <si>
    <t>Pavingisasi Halamanan Kecamatan Rembang</t>
  </si>
  <si>
    <t>Sub Jml Kecamatan  Rembang</t>
  </si>
  <si>
    <t>Kecamatan Bojongsari</t>
  </si>
  <si>
    <t>Sub Jml Kecamatan Bojongsari</t>
  </si>
  <si>
    <t>Kecamatan Padamara</t>
  </si>
  <si>
    <t>021.26</t>
  </si>
  <si>
    <t>Pematangan Lahan untuk Perluasan Kantor Kecamatan Padamara</t>
  </si>
  <si>
    <t>Sub Jml Kecamatan Padamara</t>
  </si>
  <si>
    <t>Kecamatan Pangadegan</t>
  </si>
  <si>
    <t>Sub Jml Kecamatan Pangadegan</t>
  </si>
  <si>
    <t>1.20.24</t>
  </si>
  <si>
    <t>Kecamatan Karangjambu</t>
  </si>
  <si>
    <t>021.15</t>
  </si>
  <si>
    <t>Rehabilitasi Aula Kecamatan Karangjambu</t>
  </si>
  <si>
    <t>Sub Jml Kecamatan Karangjambu</t>
  </si>
  <si>
    <t>1.20.25</t>
  </si>
  <si>
    <t>Kecamatan Kertanegara</t>
  </si>
  <si>
    <t>Sub Jml Kecamatan Kertanegara</t>
  </si>
  <si>
    <t>Kelurahan Bojong</t>
  </si>
  <si>
    <t>Sub Jml Kelurahan Bojong</t>
  </si>
  <si>
    <t>Kelurahan Kedungmenjangan</t>
  </si>
  <si>
    <t>Sub Jml Kelurahan Kedungmenjangan</t>
  </si>
  <si>
    <t>Kelurahan Bancar</t>
  </si>
  <si>
    <t>Sub Jml Kelurahan Bancar</t>
  </si>
  <si>
    <t>1.20.29</t>
  </si>
  <si>
    <t>Kelurahan Purbalingga Wetan</t>
  </si>
  <si>
    <t>Sub Jml Kelurahan Purbalingga Wetan</t>
  </si>
  <si>
    <t>1.20.30</t>
  </si>
  <si>
    <t>Kelurahan Penambongan</t>
  </si>
  <si>
    <t>Sub Jml Kelurahan Penambongan</t>
  </si>
  <si>
    <t>1.20.31</t>
  </si>
  <si>
    <t>Kelurahan Purbalingga Kidul</t>
  </si>
  <si>
    <t>Sub Jml Kelurahan Purbalingga Kidul</t>
  </si>
  <si>
    <t>1.20.32</t>
  </si>
  <si>
    <t>Kelurahan Kandanggampang</t>
  </si>
  <si>
    <t>Sub Jml Kelurahan Kandanggampang</t>
  </si>
  <si>
    <t>1.20.33</t>
  </si>
  <si>
    <t>Kelurahan Purbalingga Kulon</t>
  </si>
  <si>
    <t>Sub Jml Kelurahan Purbalingga Kulon</t>
  </si>
  <si>
    <t>1.20.34</t>
  </si>
  <si>
    <t>Kelurahan Purbalingga Lor</t>
  </si>
  <si>
    <t>Sub Jml Kelurahan Purbalingga Lor</t>
  </si>
  <si>
    <t>1.20.35</t>
  </si>
  <si>
    <t>Kelurahan Kembaran Kulon</t>
  </si>
  <si>
    <t>Sub Jml Kelurahan Kembaran Kulon</t>
  </si>
  <si>
    <t>1.20.36</t>
  </si>
  <si>
    <t>Kelurahan Wirasana</t>
  </si>
  <si>
    <t>Sub Jml Kelurahan Wirasana</t>
  </si>
  <si>
    <t>1.20.37</t>
  </si>
  <si>
    <t>Kelurahan Mewek</t>
  </si>
  <si>
    <t>Sub Jml Kelurahan Mewek</t>
  </si>
  <si>
    <t>1.20.38</t>
  </si>
  <si>
    <t>Kelurahan Karangmanyar</t>
  </si>
  <si>
    <t>Sub Jml Kelurahan Karangmanyar</t>
  </si>
  <si>
    <t>1.20.39</t>
  </si>
  <si>
    <t>Kelurahan Kalikabong</t>
  </si>
  <si>
    <t>Sub Jml Kelurahan Kalikabong</t>
  </si>
  <si>
    <t>1.20.41</t>
  </si>
  <si>
    <t>Kelurahan Karangsentul</t>
  </si>
  <si>
    <t>Sub Jml Kelurahan Karangsentul</t>
  </si>
  <si>
    <t>Badan Kepegawaian Daerah</t>
  </si>
  <si>
    <t>01.015</t>
  </si>
  <si>
    <t>Pemutakhiran Program dan Data SIMPEG</t>
  </si>
  <si>
    <t>01.016</t>
  </si>
  <si>
    <t>Penyusunan Buku Profil PNS</t>
  </si>
  <si>
    <t>01.024</t>
  </si>
  <si>
    <t>Uji Kelayakan dan Kepatutan Pejabat Struktural</t>
  </si>
  <si>
    <t>Program Pembinaan dan Peningkatan Kualitas SDM Aparatur</t>
  </si>
  <si>
    <t>021.001</t>
  </si>
  <si>
    <t>Diklat Pegawai</t>
  </si>
  <si>
    <t>Program Peningkatan Kualitas Administrasi Kepegawaian</t>
  </si>
  <si>
    <t>Pembinaan Berkala Pengelolaan Administrasi Kepegawaian Unit Kerja</t>
  </si>
  <si>
    <t>Fasilitasi Pengurusan Administrasi Pensiun</t>
  </si>
  <si>
    <t>Penyusunan Daftar Urut Kepangkatan (DUK)</t>
  </si>
  <si>
    <t>Pengelolaan Administrasi Kenaikan Gaji Berkala</t>
  </si>
  <si>
    <t>Pengelolaan Administrasi Jabatan Fungsional</t>
  </si>
  <si>
    <t>Penyelesaian KP PNS</t>
  </si>
  <si>
    <t>Fasilitasi Pengurusan Administrasi Mutasi PNS</t>
  </si>
  <si>
    <t>24.008</t>
  </si>
  <si>
    <t>Penataan File Kepegawaian</t>
  </si>
  <si>
    <t>24.010</t>
  </si>
  <si>
    <t>Pembangunan Data Base Sistem Aplikasi Pelayanan Kepegawaian (SAPK)</t>
  </si>
  <si>
    <t>Program Pembinaan dan Pengembangan Aparatur</t>
  </si>
  <si>
    <t>Pengelolaan Administrasi Pegawai Tidak Tetap ( PTT)</t>
  </si>
  <si>
    <t>Fit and Propert Test PNS Mutasi ke Purbalingga</t>
  </si>
  <si>
    <t>25.003</t>
  </si>
  <si>
    <t>Fasilitasi Masalah Kepegawaian</t>
  </si>
  <si>
    <t>25.004</t>
  </si>
  <si>
    <t>Penyusunan Formasi PNS dan Pengadaan CPNS</t>
  </si>
  <si>
    <t>25.007</t>
  </si>
  <si>
    <t>Sosialisasi Penilaian Kinerja PNS dan Pemantauan Disiplin PNS</t>
  </si>
  <si>
    <t>25.008</t>
  </si>
  <si>
    <t>Diklat Pra Jabatan bagi CPNS Golongan I dan II</t>
  </si>
  <si>
    <t>25.009</t>
  </si>
  <si>
    <t>Diklat Pra Jabatan Golongan III</t>
  </si>
  <si>
    <t>25.010</t>
  </si>
  <si>
    <t>Fasilitasi Ujian Dinas dan Kenaikan Pangkat Pilihan</t>
  </si>
  <si>
    <t>Pengadaan CPNS</t>
  </si>
  <si>
    <t>Seleksi Terbuka Pengisian Jabatan Pimpinan</t>
  </si>
  <si>
    <t>Sub Jml Badan Kepegawaian Daerah</t>
  </si>
  <si>
    <t>1.22.01</t>
  </si>
  <si>
    <t>Badan Pemberdayaan Masyarakat dan Desa</t>
  </si>
  <si>
    <t>1.22.15</t>
  </si>
  <si>
    <t>Program Pemberdayaan Kelembagaan Desa dan Kelembagaan Masyarakat</t>
  </si>
  <si>
    <t>Fasilitasi ADD dan Hibah LKMK</t>
  </si>
  <si>
    <t>Fasilitasi TMMD</t>
  </si>
  <si>
    <t>Evaluasi Pemberdayaan Masyarakat Desa dan Kelurahan</t>
  </si>
  <si>
    <t>Pemanfaatan dan Pengenalan TTG di Desa Labsite</t>
  </si>
  <si>
    <t>Fasilitasi Laboratorium Lapang Desa (Labsite) PMD</t>
  </si>
  <si>
    <t>Pembuatan Profil Desa dan Kelurahan Tingkat Kabupaten</t>
  </si>
  <si>
    <t>Fasilitasi Pokjanal  Posyandu</t>
  </si>
  <si>
    <t>Pelatihan Lembaga Kemasyarakatan (LKMD/ LKMK, RT/RW dan Lembaga Kemasyarakatan Lainnya)</t>
  </si>
  <si>
    <t>Fasilitasi Dana Desa</t>
  </si>
  <si>
    <t>Fasilitasi Latihan Integrasi Taruna Wreda Nusantara ke-35</t>
  </si>
  <si>
    <t>Penyusunan Peraturan Daerah/Peraturan Bupati Tindak Lanjut Implementasi UU Desa</t>
  </si>
  <si>
    <t>Fasilitasi Pembinaan Kelembagaan Pasca PNPM MPd, Integrasi dan MP3KI</t>
  </si>
  <si>
    <t>Teknikal Asisten Transfer Fiskal ke Desa</t>
  </si>
  <si>
    <t>1.22.16</t>
  </si>
  <si>
    <t>Program Pemberdayaan Sosial Ekonomi Masyarakat</t>
  </si>
  <si>
    <t>Revitalisasi Kelembagaan Lumbung Desa</t>
  </si>
  <si>
    <t>Pembinaan Kelembagaan Pengelolaan Pasar Desa</t>
  </si>
  <si>
    <t>Bulan Bakti Gotong Royong Masyarakat (BBGRM) Tingkat Kabupaten Purbalingga</t>
  </si>
  <si>
    <t>Program  Pemberdayaan Masyarakat Berbasis Gender (P2MBG)</t>
  </si>
  <si>
    <t>Fasilitasi Pembinaan Kelembagaan Pamsimas</t>
  </si>
  <si>
    <t>Pelatihan Pengelola  Badan Usaha Milik Desa (BUMDes)</t>
  </si>
  <si>
    <t>Fasilitasi Lembaga Ekonomi Masyarakat dan Sarana Prasarana Lingkungan</t>
  </si>
  <si>
    <t>Sub Jml Badan Pemberdayaan Masyarakat dan Desa</t>
  </si>
  <si>
    <t>1.26.01</t>
  </si>
  <si>
    <t>Kantor Perpustakaan dan Arsip Daerah</t>
  </si>
  <si>
    <t>Bintek Pengelolaan Kearsipan</t>
  </si>
  <si>
    <t>Pendokumentasian Momentum Penting Pemerintah Kabupaten Purbalingga</t>
  </si>
  <si>
    <t>Pembinaan Kearsipan</t>
  </si>
  <si>
    <t>Pengelolaan Arsip di Depo Arsip</t>
  </si>
  <si>
    <t>1.26.15</t>
  </si>
  <si>
    <t>Program Pembinaan dan Pengembangan Perpustakaan</t>
  </si>
  <si>
    <t>Gerakan Gemar Membaca</t>
  </si>
  <si>
    <t>Pengadaan buku koleksi</t>
  </si>
  <si>
    <t>Bimbingan Teknis Pengelola Perpustakaan</t>
  </si>
  <si>
    <t>Fasilitasi dan Operasional Perpustakaan Keliling</t>
  </si>
  <si>
    <t>Pengolahan, Penyiangan dan Pemeliharaan Bahan Pustaka</t>
  </si>
  <si>
    <t>Lomba Story Telling/ Bercerita</t>
  </si>
  <si>
    <t>Pemeliharaan dan Perawatan Perpustakaan Jenderal Soedirman Kec. Rembang</t>
  </si>
  <si>
    <t>Pembinaan Perpustakaan Sekolah/ Desa/Rumah Ibadah</t>
  </si>
  <si>
    <t>Pengadaan Sarpras Layanan Perpustakaan</t>
  </si>
  <si>
    <t>Lomba Perpustakaan Desa / Kelurahan</t>
  </si>
  <si>
    <t>Sub Jml Kantor Perpustakaan dan Arsip Daerah</t>
  </si>
  <si>
    <t>2.01.01</t>
  </si>
  <si>
    <t>Dinas Pertanian, Perkebunan dan Kehutanan</t>
  </si>
  <si>
    <t>Pensertifakatan Tanah Kawasan Mata Air Tuk Sidandang DI Limpakdau Desa Munjul Kecamatan Kutasari</t>
  </si>
  <si>
    <t>2.01.15</t>
  </si>
  <si>
    <t>Program Peningkatan Produksi, Produktivitas Mutu Tanaman Pangan, Hortikultura, dan Perkebunan</t>
  </si>
  <si>
    <t>Pengelolaan UPTD Perbenihan</t>
  </si>
  <si>
    <t>Fasilitasi Program WISMP</t>
  </si>
  <si>
    <t>Prima Tani (Bangub)</t>
  </si>
  <si>
    <t>Peningkatan Produksi Tanaman Perkebunan (cengkeh)</t>
  </si>
  <si>
    <t>Intensifikasi Pekarangan</t>
  </si>
  <si>
    <t>Perlindungan Tanaman</t>
  </si>
  <si>
    <t>Pengembangan Produktivitas Tanaman Pangan dan Hortikultura</t>
  </si>
  <si>
    <t>Pengembangan Kawasan Budidaya Stroberi</t>
  </si>
  <si>
    <t>Pelatihan Pembuatan Pupuk Cair Organik</t>
  </si>
  <si>
    <t>Bantuan Usaha Perkebunan Rakyat</t>
  </si>
  <si>
    <t>Pelatihan Usaha Budidaya Jamur Konsumsi</t>
  </si>
  <si>
    <t>Identifikasi dan Analisa Potensi Lahan Pertanian Berkelanjutan (LP2B)</t>
  </si>
  <si>
    <t>2.01.17</t>
  </si>
  <si>
    <t>Program Penyediaan dan Pengembangan Sarana Prasarana Produksi Pertanian Tanaman Pangan, Hortikultura dan Perkebunan</t>
  </si>
  <si>
    <t>Penyediaan Infrastruktur  Pertanian  (DAK)</t>
  </si>
  <si>
    <t>Pendampingan Bantuan Prasarana dan Sarana Pertanian (PSP)</t>
  </si>
  <si>
    <t>2.01.22</t>
  </si>
  <si>
    <t>Program Peningkatan Nilai Tambah, Daya Saing dan Pemasaran Produk Pertanian</t>
  </si>
  <si>
    <t>Promosi Produk Pertanian, Hortikultura, Perkebunan dan Kehutanan</t>
  </si>
  <si>
    <t>2.02.15</t>
  </si>
  <si>
    <t>Program Perlindungan dan Konversi Sumber Daya Alam</t>
  </si>
  <si>
    <t>Rehabilitasi Hutan dan Lahan (RHL) (DAK)</t>
  </si>
  <si>
    <t>Pembangunan dan Pemeliharaan Hutan Kota</t>
  </si>
  <si>
    <t>Penyusunan Rencana Pengelolaan Rehabilitasi Hutan dan Lahan (RP-RHL) 2014-2019 dan Rencana Tahunan Rehabilitasi Hutan dan Lahan (RTn-RHL Tahun 2015)</t>
  </si>
  <si>
    <t>2.02.16</t>
  </si>
  <si>
    <t>Program Peningkatan Produksi dan Kualitas Produk Kehutanan</t>
  </si>
  <si>
    <t>Penatausahaan Hasil Hutan (PUHH)</t>
  </si>
  <si>
    <t>Sub Jml DINTANBUNHUT</t>
  </si>
  <si>
    <t>2.01.02</t>
  </si>
  <si>
    <t>Dinas Peternakan dan Perikanan</t>
  </si>
  <si>
    <t>Penyusunan Data Statistik Perikanan</t>
  </si>
  <si>
    <t>Penyusunan Data Statistik Peternakan</t>
  </si>
  <si>
    <t>2.01.16</t>
  </si>
  <si>
    <t>Program Peningkatan Produksi, Produktivitas dan Mutu Produk Peternakan</t>
  </si>
  <si>
    <t>Pengembangan Agribisnis Peternakan</t>
  </si>
  <si>
    <t>Pengelolaan UPT Aneka Usaha Ternak</t>
  </si>
  <si>
    <t>Peningkatan Layanan Inseminasi Buatan</t>
  </si>
  <si>
    <t>Fasilitasi Budidaya Ternak Domba ( Penggemukan)</t>
  </si>
  <si>
    <t>Kontes Ternak</t>
  </si>
  <si>
    <t>2.01.19</t>
  </si>
  <si>
    <t>Program Kesehatan Masyarakat Veteriner</t>
  </si>
  <si>
    <t>Pembinaan Kesehatan Masyarakat Veterinair</t>
  </si>
  <si>
    <t>Pengelolaan UPT Puskeswan</t>
  </si>
  <si>
    <t>Fasilitasi Rumah Potong Hewan</t>
  </si>
  <si>
    <t>Pencegahan dan Pengendalian Penyakit Hewan</t>
  </si>
  <si>
    <t>Pengembangan Rumah Potong Hewan Ruminansia</t>
  </si>
  <si>
    <t>2.05.15</t>
  </si>
  <si>
    <t>Program Peningkatan Produksi, Produktivitas dan Mutu Produk Perikanan</t>
  </si>
  <si>
    <t>Pengelolaan UPTD Budidaya Ikan Air Tawar (BIAT)</t>
  </si>
  <si>
    <t>Pengembangan Teknis dan Manajeman Usaha Perikanan</t>
  </si>
  <si>
    <t>Fasilitasi PUMP Perikanan Budidaya</t>
  </si>
  <si>
    <t>Pembangunan / Rehabilitasi Sarana dan Prasarana Fisik Pengembangan Kawasan Budidaya Air Tawar (DAK)</t>
  </si>
  <si>
    <t>Pengembangan Sarana dan Prasarana Penyuluhan Perikanan (DAK)</t>
  </si>
  <si>
    <t>Pelatihan dan Magang Pelaku Usaha Perikanan (DBH CHT)</t>
  </si>
  <si>
    <t>2.05.16</t>
  </si>
  <si>
    <t>Program Peningkatan Daya Saing Produk Perikanan</t>
  </si>
  <si>
    <t>Promosi dan Gerakan Gemar Makan Ikan</t>
  </si>
  <si>
    <t>Pendampingan PUMP P2HP</t>
  </si>
  <si>
    <t>Pelatihan dan Magang Pengolahan Hasil Perikanan</t>
  </si>
  <si>
    <t>Peningkatan Mutu dan Pemasaran Hasil Perikanan (DAK)</t>
  </si>
  <si>
    <t>2.05.17</t>
  </si>
  <si>
    <t>Program Pengembangan dan Pengelolaan Perikanan Tangkap</t>
  </si>
  <si>
    <t>Penyediaan Sarana dan Prasarana Perikanan Tangkap (DAK)</t>
  </si>
  <si>
    <t>Pengendalian dan Pemeliharaan SHP Perairan Umum</t>
  </si>
  <si>
    <t>Pengembangan Sarana dan Prasarana Pengawasan Pemanfaatan Sumber Daya Kelautan Perikanan (DAK)</t>
  </si>
  <si>
    <t>Sub Jml Dinnakan</t>
  </si>
  <si>
    <t>2.01.03</t>
  </si>
  <si>
    <t>Badan Pelaksana Penyuluhan dan Ketahanan Pangan</t>
  </si>
  <si>
    <t>1.21.15</t>
  </si>
  <si>
    <t>Program Peningkatan Ketahanan Pangan</t>
  </si>
  <si>
    <t>Fasilitasi Raskin</t>
  </si>
  <si>
    <t>Fasilitasi Cadangan dan Distribusi Pangan</t>
  </si>
  <si>
    <t>Fasilitasi Desa Mandiri Pangan</t>
  </si>
  <si>
    <t>Pembinaan Kewaspadaan dan Keamanan Pangan</t>
  </si>
  <si>
    <t>Fasilitasi Dewan Ketahanan Pangan</t>
  </si>
  <si>
    <t>Fasilitasi Penganekaragaman Konsumsi Pangan</t>
  </si>
  <si>
    <t>Pengadaan Sarana Prasarana Lumbung Desa (DAK)</t>
  </si>
  <si>
    <t>Operasional Gudang Cadangan Pangan Kabupaten</t>
  </si>
  <si>
    <t>Fasilitasi Pemanfaatan Pekarangan</t>
  </si>
  <si>
    <t>Pelatihan Usaha Pengolahan Bahan Pangan Potensi Lokal</t>
  </si>
  <si>
    <t>Fasilitasi Pengembangan Beras Analog</t>
  </si>
  <si>
    <t>01.014</t>
  </si>
  <si>
    <t>Pengelolaan BPP Kecamatan</t>
  </si>
  <si>
    <t>2.01.18</t>
  </si>
  <si>
    <t>Program Pengembangan Penyelenggaraan Penyuluhan Pertanian</t>
  </si>
  <si>
    <t>Penyediaan Sarana Prasarana Kelembagaan Penyuluhan (DAK)</t>
  </si>
  <si>
    <t>Penyusunan Programa Penyuluhan</t>
  </si>
  <si>
    <t>Pengembangan Metodologi Penyuluhan</t>
  </si>
  <si>
    <t>2.01.20</t>
  </si>
  <si>
    <t>Program Peningkatan Kualitas SDM dan Kelembagaan Petani</t>
  </si>
  <si>
    <t>Fasilitasi Pembuatan Media Penyuluhan</t>
  </si>
  <si>
    <t>Fasilitasi Pengembangan Usaha Agribisnis Perdesaan (PUAP)</t>
  </si>
  <si>
    <t>Pembinaan dan Pengembangan Kelembagaan Petani</t>
  </si>
  <si>
    <t>Pengiriman Kontingen Jambore Penyuluh Kehutanan</t>
  </si>
  <si>
    <t>Penguatan Kapasitas SDM dan Kelembagaan Petani</t>
  </si>
  <si>
    <t>Percontohan Pemanfaatan Lahan BPK</t>
  </si>
  <si>
    <t>2.01.21</t>
  </si>
  <si>
    <t>Program Kaji Terap Teknologi Pertanian, Perikanan, dan Kehutanan</t>
  </si>
  <si>
    <t>Pengembangan Pertanian Organik (DBH-CHT)</t>
  </si>
  <si>
    <t>Sub Jml BPPKP</t>
  </si>
  <si>
    <t>2.04.01</t>
  </si>
  <si>
    <t>Dinas Kebudayaan, Pariwisata, Pemuda dan Olah Raga</t>
  </si>
  <si>
    <t>Pengelolaan Museum Prof. Soegarda</t>
  </si>
  <si>
    <t>Kemah Budaya</t>
  </si>
  <si>
    <t>Festival Seni Tradisional</t>
  </si>
  <si>
    <t>Pengiriman Tim Kesenian Tingkat  Provinsi dan Nasional</t>
  </si>
  <si>
    <t>Pengiriman Tim Parade Seni Hari Ulang Tahun Jawa Tengah</t>
  </si>
  <si>
    <t>Pekan Budaya dan Pariwisata dalam rangka Hari Ulang Tahun Kabupaten Purbalingga</t>
  </si>
  <si>
    <t>Pembangunan Pagar Keliling Monumen AW Sumarmo</t>
  </si>
  <si>
    <t>Pengiriman Peserta Lomba Karya Tulis Sejarah, Kepurbakalaan dan Napak Tilas/ Lawatan Sejarah</t>
  </si>
  <si>
    <t>15.015</t>
  </si>
  <si>
    <t>Pelestarian BCB ( Benda Cagar Budaya )</t>
  </si>
  <si>
    <t>15.022</t>
  </si>
  <si>
    <t>Revitalisasi dan Dokumentasi Kesenian Tradisional Purbalingga</t>
  </si>
  <si>
    <t>15.028</t>
  </si>
  <si>
    <t>15.029</t>
  </si>
  <si>
    <t>Fasilitasi Pentas dan Pembinaan Kelompok Seni</t>
  </si>
  <si>
    <t>15.030</t>
  </si>
  <si>
    <t>Dokumentasi Situs dan Benda Cagar Budaya</t>
  </si>
  <si>
    <t>15.031</t>
  </si>
  <si>
    <t>Pengembangan Musik Bambu</t>
  </si>
  <si>
    <t>15.032</t>
  </si>
  <si>
    <t>Pelatihan Pembina Kesenian</t>
  </si>
  <si>
    <t>15.033</t>
  </si>
  <si>
    <t>Identifikasi Sejarah Nama-nama Tempat di Kabupaten Purbalingga</t>
  </si>
  <si>
    <t>1.18.15</t>
  </si>
  <si>
    <t>Program Pembinaan dan Pemasyarakatan Olahraga</t>
  </si>
  <si>
    <t>Pengelolaan GOR dan Stadion</t>
  </si>
  <si>
    <t>Pembinaan Cabang Olahraga Terpilih (unggulan)</t>
  </si>
  <si>
    <t>Pekan Olah Raga Pelajar Daerah (POPDA)</t>
  </si>
  <si>
    <t>Pengiriman  Kontingen Olah Raga Tradisional</t>
  </si>
  <si>
    <t>Penguatan Olah Raga Kemasyarakatan</t>
  </si>
  <si>
    <t>Gerak Jalan 28 km dan Lari 10 km</t>
  </si>
  <si>
    <t>Peringatan Olahraga Hari Olahraga Nasional</t>
  </si>
  <si>
    <t>1.18.16</t>
  </si>
  <si>
    <t>Program Pemberdayaan dan Pengembangan Potensi Pemuda</t>
  </si>
  <si>
    <t>Paskibraka Sekolah Menengah</t>
  </si>
  <si>
    <t>Pelaksanaan Lomba Peraturan Baris Berbaris/Tata  Upacara Bendera</t>
  </si>
  <si>
    <t>Lomba-Lomba Pemuda Pelopor</t>
  </si>
  <si>
    <t>Peringatan Hari Sumpah Pemuda</t>
  </si>
  <si>
    <t>Pembinaan Karakter Generasi Muda melalui Film</t>
  </si>
  <si>
    <t>2.04.15</t>
  </si>
  <si>
    <t>Program Pengembangan Destinasi Pariwisata</t>
  </si>
  <si>
    <t>Pengelolaan Obyek-obyek Wisata</t>
  </si>
  <si>
    <t>Pemilihan Kakang Mbekayu</t>
  </si>
  <si>
    <t>Promosi dan Pemasaran Wisata Purbalingga</t>
  </si>
  <si>
    <t>Pengiriman Duta Wisata</t>
  </si>
  <si>
    <t>Pembinaan Pokdarwis dan Pembentukan Aliansi Pariwisata</t>
  </si>
  <si>
    <t>Pembinaan Saka Pandu Wisata</t>
  </si>
  <si>
    <t>Pengiriman Peserta Lomba Apresiasi dan Konvensi Pariwisata</t>
  </si>
  <si>
    <t>Penyusunan Statistik Pariwisata, Seni Budaya dan OlahRaga</t>
  </si>
  <si>
    <t>15.020</t>
  </si>
  <si>
    <t>Sub Jml Dinbudparpora</t>
  </si>
  <si>
    <t>JUMLAH KESELURUHAN</t>
  </si>
  <si>
    <t>KEPALA BAGIAN PEMBANGUNAN</t>
  </si>
  <si>
    <t>YANI SUTRISNO,UN, S.Sos</t>
  </si>
  <si>
    <t>Pembina Tk. I</t>
  </si>
  <si>
    <t>NIP. 19651005 198603 1 028</t>
  </si>
  <si>
    <t>PENAYANGAN RUP</t>
  </si>
  <si>
    <t>PERMOHONAN LELANG KE ULP</t>
  </si>
  <si>
    <t>SUDAH</t>
  </si>
  <si>
    <t>MASUK ULP</t>
  </si>
  <si>
    <t>SEDANG PROSES</t>
  </si>
  <si>
    <t>TERLELANG</t>
  </si>
  <si>
    <t>V</t>
  </si>
  <si>
    <t>-</t>
  </si>
  <si>
    <t>Pembangunan / Rehab IBS</t>
  </si>
  <si>
    <t xml:space="preserve">Pembangunan / Rehab Gizi </t>
  </si>
  <si>
    <t xml:space="preserve">Pengembangan Poliklinik </t>
  </si>
  <si>
    <t>BIDANG PENGAIRAN</t>
  </si>
  <si>
    <t>Kegiatan</t>
  </si>
  <si>
    <t>BIDANG BINA MARGA</t>
  </si>
  <si>
    <t>UPTD I</t>
  </si>
  <si>
    <t>UPTD II</t>
  </si>
  <si>
    <t>UPTD III</t>
  </si>
  <si>
    <t>UPTD IV</t>
  </si>
  <si>
    <t>LELANG ULANG</t>
  </si>
  <si>
    <t>KEGIATAN YANG DILELANG YANG BELUM MASUK ULP</t>
  </si>
  <si>
    <t>v</t>
  </si>
  <si>
    <t>LAPORAN PELAKSANAAN KEGIATAN BELANJA LANGSUNG</t>
  </si>
  <si>
    <t>1.01.02</t>
  </si>
  <si>
    <t>TK Negeri Pembina</t>
  </si>
  <si>
    <t>SUB JML TK Negeri Pembina</t>
  </si>
  <si>
    <t>1.01.03</t>
  </si>
  <si>
    <t>SUB JML UPT DISDIK KEC. KEMANGKON</t>
  </si>
  <si>
    <t>1.01.04</t>
  </si>
  <si>
    <t>UPT Dinas Pendidikan Kecamatan Bukateja</t>
  </si>
  <si>
    <t>SUB JML UPT DISDIK KEC. BUKATEJA</t>
  </si>
  <si>
    <t>1.01.05</t>
  </si>
  <si>
    <t>UPT Dinas Pendidikan Kecamatan Kejobong</t>
  </si>
  <si>
    <t>SUB JML UPT DISDIK KEC. KEJOBONG</t>
  </si>
  <si>
    <t>1.01.06</t>
  </si>
  <si>
    <t>SUB JML UPT DISDIK KEC. KALIGONDANG</t>
  </si>
  <si>
    <t>1.01.07</t>
  </si>
  <si>
    <t>SUB JML UPT DISDIK KEC.PURBALINGGA</t>
  </si>
  <si>
    <t>1.01.08</t>
  </si>
  <si>
    <t>UPT Dinas Pendidikan Kecamatan Kalimanah</t>
  </si>
  <si>
    <t>SUB JML UPT DISDIK KEC. KALIMANAH</t>
  </si>
  <si>
    <t>1.01.09</t>
  </si>
  <si>
    <t>UPT Dinas Pendidikan Kecamatan Kutasari</t>
  </si>
  <si>
    <t>SUB JML UPT DISDIK KEC. KUTASARI</t>
  </si>
  <si>
    <t>1.01.10</t>
  </si>
  <si>
    <t>UPT Dinas Pendidikan Kecamatan Mrebet</t>
  </si>
  <si>
    <t>SUB JML UPT DISDIK KEC. MREBET</t>
  </si>
  <si>
    <t>1.01.11</t>
  </si>
  <si>
    <t>UPT Dinas Pendidikan Kecamatan Bobotsari</t>
  </si>
  <si>
    <t>SUB JML UPT DISDIK KEC. BOBOTSARI</t>
  </si>
  <si>
    <t>1.01.12</t>
  </si>
  <si>
    <t>UPT Dinas Pendidikan Kecamatan Karangreja</t>
  </si>
  <si>
    <t>SUB JML UPT DISDIK KEC. KARANGREJA</t>
  </si>
  <si>
    <t>1.01.13</t>
  </si>
  <si>
    <t>SUB JML UPT DISDIK KEC. KARANGANYAR</t>
  </si>
  <si>
    <t>1.01.14</t>
  </si>
  <si>
    <t>SUB JML UPT DISDIK KEC. KARANGMONCOL</t>
  </si>
  <si>
    <t>1.01.15</t>
  </si>
  <si>
    <t>UPT Dinas Pendidikan Kecamatan Rembang</t>
  </si>
  <si>
    <t>SUB JML UPT DISDIK KEC. REMBANG</t>
  </si>
  <si>
    <t>UPT Dinas Pendidikan Kecamatan Bojongsari</t>
  </si>
  <si>
    <t>SUB JML UPT DISDIK KEC. BOJONGSARI</t>
  </si>
  <si>
    <t>UPT Dinas Pendidikan Kecamatan Padamara</t>
  </si>
  <si>
    <t>SUB JML UPT DISDIK KEC. PADAMARA</t>
  </si>
  <si>
    <t>1.01.18</t>
  </si>
  <si>
    <t>SUB JML UPT DISDIK KEC.PENGADEGAN</t>
  </si>
  <si>
    <t>1.01.19</t>
  </si>
  <si>
    <t>SUB JML UPT DISDIK KEC. KERTANEGARA</t>
  </si>
  <si>
    <t>1.01.20</t>
  </si>
  <si>
    <t>SUB JML UPT DISDIK KEC. KARANGJAMBU</t>
  </si>
  <si>
    <t>1.01.21</t>
  </si>
  <si>
    <t>UPT SMA Negeri 1 Purbalingga</t>
  </si>
  <si>
    <t>Sub Jml UPT SMA Negeri 1 Purbalingga</t>
  </si>
  <si>
    <t>1.01.22</t>
  </si>
  <si>
    <t>UPT SMA Negeri 2 Purbalingga</t>
  </si>
  <si>
    <t>01.059</t>
  </si>
  <si>
    <t>Pembangunan Pagar Keliling GOR SMA N 2 Purbalingga</t>
  </si>
  <si>
    <t>Sub Jml UPT SMA Negeri 2 Purbalingga</t>
  </si>
  <si>
    <t>1.01.23</t>
  </si>
  <si>
    <t>UPT SMA Negeri 1 Bobotsari</t>
  </si>
  <si>
    <t>01.048</t>
  </si>
  <si>
    <t>Bantuan Pengembangan Mutu SMA (Bangub)</t>
  </si>
  <si>
    <t>Sub Jml UPT SMA Negeri 1 Bobotsari</t>
  </si>
  <si>
    <t>1.01.24</t>
  </si>
  <si>
    <t>UPT SMA Negeri 1 Bukateja</t>
  </si>
  <si>
    <t>Sub Jml UPT SMA Negeri 1 Bukateja</t>
  </si>
  <si>
    <t>1.01.25</t>
  </si>
  <si>
    <t>UPT SMA Negeri 1 Kejobong</t>
  </si>
  <si>
    <t>Sub Jml UPT SMA Negeri 1 Kejobong</t>
  </si>
  <si>
    <t>1.01.26</t>
  </si>
  <si>
    <t>UPT SMA Negeri 1 Kutasari</t>
  </si>
  <si>
    <t>Sub Jml UPT SMA Negeri 1 Kutasari</t>
  </si>
  <si>
    <t>1.01.27</t>
  </si>
  <si>
    <t>UPT SMA Negeri 1 Rembang</t>
  </si>
  <si>
    <t>Sub Jml UPT SMA Negeri 1 Rembang</t>
  </si>
  <si>
    <t>1.01.28</t>
  </si>
  <si>
    <t>UPT SMA Negeri 1 Karangreja</t>
  </si>
  <si>
    <t>Sub Jml UPT SMA Negeri 1 Karangreja</t>
  </si>
  <si>
    <t>1.01.29</t>
  </si>
  <si>
    <t>UPT SMA Negeri 1 Kemangkon</t>
  </si>
  <si>
    <t>01.31</t>
  </si>
  <si>
    <t>Bantuan Fasilitasi Penelitian IPA dan IPS Siswa SMA (Ban Gub)</t>
  </si>
  <si>
    <t>Sub Jml UPT SMA Negeri 1 Kemangkon</t>
  </si>
  <si>
    <t>1.01.30</t>
  </si>
  <si>
    <t>UPT SMK Negeri 1 Purbalingga</t>
  </si>
  <si>
    <t>Sub Jml UPT SMK Negeri 1 Purbalingga</t>
  </si>
  <si>
    <t>1.01.31</t>
  </si>
  <si>
    <t>UPT SMK Negeri 2 Purbalingga</t>
  </si>
  <si>
    <t>Sub Jml UPT SMK Negeri 2 Purbalingga</t>
  </si>
  <si>
    <t>1.01.32</t>
  </si>
  <si>
    <t>UPT SMP Negeri 1 Purbalingga</t>
  </si>
  <si>
    <t>Sub Jml UPT SMP Negeri 1 Purbalingga</t>
  </si>
  <si>
    <t>1.01.33</t>
  </si>
  <si>
    <t>UPT SMP Negeri 2 Purbalingga</t>
  </si>
  <si>
    <t>Sub Jml UPT SMP Negeri 2 Purbalingga</t>
  </si>
  <si>
    <t>1.01.34</t>
  </si>
  <si>
    <t>UPT SMP Negeri 3 Purbalingga</t>
  </si>
  <si>
    <t>Sub Jml UPT SMP Negeri 3 Purbalingga</t>
  </si>
  <si>
    <t>1.01.35</t>
  </si>
  <si>
    <t>UPT SMP Negeri 4 Purbalingga</t>
  </si>
  <si>
    <t>Sub Jml UPT SMP Negeri 4 Purbalingga</t>
  </si>
  <si>
    <t>1.01.36</t>
  </si>
  <si>
    <t>UPT SMP Negeri 5 Purbalingga</t>
  </si>
  <si>
    <t>Bantuan Pengadaan Alat Lab IPA SMP (Ban Gub)</t>
  </si>
  <si>
    <t>Sub Jml UPT SMP Negeri 5 Purbalingga</t>
  </si>
  <si>
    <t>1.01.37</t>
  </si>
  <si>
    <t>UPT SMP Negeri 1 Kalimanah</t>
  </si>
  <si>
    <t>Sub Jml UPT SMP Negeri 1 Kalimanah</t>
  </si>
  <si>
    <t>1.01.38</t>
  </si>
  <si>
    <t>UPT SMP Negeri 2 Kalimanah</t>
  </si>
  <si>
    <t>Sub Jml UPT SMP Negeri 2 Kalimanah</t>
  </si>
  <si>
    <t>1.01.39</t>
  </si>
  <si>
    <t>UPT SMP Negeri 3 Kalimanah</t>
  </si>
  <si>
    <t>Sub Jml UPT SMP Negeri 3 Kalimanah</t>
  </si>
  <si>
    <t>1.01.40</t>
  </si>
  <si>
    <t>UPT SMP Negeri 1 Padamara</t>
  </si>
  <si>
    <t>Sub Jml UPT SMP Negeri 1 Padamara</t>
  </si>
  <si>
    <t>1.01.41</t>
  </si>
  <si>
    <t>UPT SMP Negeri 2 Padamara</t>
  </si>
  <si>
    <t>016.20</t>
  </si>
  <si>
    <t>Bantuan Rehab Ruang Kelas Rusak Sedang SMP (Ban Gub)</t>
  </si>
  <si>
    <t>Sub Jml UPT SMP Negeri 2 Padamara</t>
  </si>
  <si>
    <t>1.01.42</t>
  </si>
  <si>
    <t>UPT SMP Negeri 1 Kutasari</t>
  </si>
  <si>
    <t>Sub Jml UPT SMP Negeri 1 Kutasari</t>
  </si>
  <si>
    <t>1.01.43</t>
  </si>
  <si>
    <t>UPT SMP Negeri 2 Kutasari</t>
  </si>
  <si>
    <t>Sub Jml UPT SMP Negeri 2 Kutasari</t>
  </si>
  <si>
    <t>1.01.44</t>
  </si>
  <si>
    <t>UPT SMP Negeri 1 Karangreja</t>
  </si>
  <si>
    <t>Sub Jml UPT SMP Negeri 1 Karangreja</t>
  </si>
  <si>
    <t>1.01.45</t>
  </si>
  <si>
    <t>UPT SMP Negeri 2 Karangreja</t>
  </si>
  <si>
    <t>Sub Jml UPT SMP Negeri 2 Karangreja</t>
  </si>
  <si>
    <t>1.01.46</t>
  </si>
  <si>
    <t>UPT SMP Negeri 1 Karangjambu</t>
  </si>
  <si>
    <t>Sub Jml UPT SMP Negeri 1 Karangjambu</t>
  </si>
  <si>
    <t>1.01.47</t>
  </si>
  <si>
    <t>UPT SMP Negeri 1 Kemangkon</t>
  </si>
  <si>
    <t>Sub Jml UPT SMP Negeri 1 Kemangkon</t>
  </si>
  <si>
    <t>1.01.48</t>
  </si>
  <si>
    <t>UPT SMP Negeri 2 Kemangkon</t>
  </si>
  <si>
    <t>Sub Jml UPT SMP Negeri 2 Kemangkon</t>
  </si>
  <si>
    <t>1.01.49</t>
  </si>
  <si>
    <t>UPT SMP Negeri 3 Kemangkon</t>
  </si>
  <si>
    <t>16.60</t>
  </si>
  <si>
    <t>Pembangunan Pagar Keliling SMP N 3 Kemangkon</t>
  </si>
  <si>
    <t>Sub Jml UPT SMP Negeri 3 Kemangkon</t>
  </si>
  <si>
    <t>1.01.50</t>
  </si>
  <si>
    <t>UPT SMP Negeri 1 Bukateja</t>
  </si>
  <si>
    <t>Sub Jml UPT SMP Negeri 1 Bukateja</t>
  </si>
  <si>
    <t>1.01.51</t>
  </si>
  <si>
    <t>UPT SMP Negeri 2 Bukateja</t>
  </si>
  <si>
    <t>Sub Jml UPT SMP Negeri 2 Bukateja</t>
  </si>
  <si>
    <t>1.01.52</t>
  </si>
  <si>
    <t>UPT SMP Negeri 3 Bukateja</t>
  </si>
  <si>
    <t>Sub Jml UPT SMP Negeri 3 Bukateja</t>
  </si>
  <si>
    <t>1.01.53</t>
  </si>
  <si>
    <t>UPT SMP Negeri 1 Kejobong</t>
  </si>
  <si>
    <t>16.23</t>
  </si>
  <si>
    <t>Bantuan Pengadaan Buku Perpustakaan SMP (Ban Gub)</t>
  </si>
  <si>
    <t>Sub Jml UPT SMP Negeri 1 Kejobong</t>
  </si>
  <si>
    <t>1.01.54</t>
  </si>
  <si>
    <t>UPT SMP Negeri 2 Kejobong</t>
  </si>
  <si>
    <t>Sub Jml UPT SMP Negeri 2 Kejobong</t>
  </si>
  <si>
    <t>1.01.55</t>
  </si>
  <si>
    <t>UPT SMP Negeri 1 Kaligondang</t>
  </si>
  <si>
    <t>Sub Jml UPT SMP Negeri 1 Kaligondang</t>
  </si>
  <si>
    <t>1.01.56</t>
  </si>
  <si>
    <t>UPT SMP Negeri 2 Kaligondang</t>
  </si>
  <si>
    <t>Sub Jml UPT SMP Negeri 2 Kaligondang</t>
  </si>
  <si>
    <t>1.01.57</t>
  </si>
  <si>
    <t>UPT SMP Negeri 1 Pengadegan</t>
  </si>
  <si>
    <t>Sub Jml UPT SMP Negeri 1 Pengadegan</t>
  </si>
  <si>
    <t>1.01.58</t>
  </si>
  <si>
    <t>UPT SMP Negeri 2 Pengadegan</t>
  </si>
  <si>
    <t>Sub Jml UPT SMP Negeri 2 Pengadegan</t>
  </si>
  <si>
    <t>1.01.59</t>
  </si>
  <si>
    <t>UPT SMP Negeri 1 Rembang</t>
  </si>
  <si>
    <t>Sub Jml UPT SMP Negeri 1 Rembang</t>
  </si>
  <si>
    <t>1.01.60</t>
  </si>
  <si>
    <t>UPT SMP Negeri 2 Rembang</t>
  </si>
  <si>
    <t>Sub Jml UPT SMP Negeri 2 Rembang</t>
  </si>
  <si>
    <t>1.01.61</t>
  </si>
  <si>
    <t>UPT SMP Negeri 1 Karangmoncol</t>
  </si>
  <si>
    <t>Sub Jml UPT SMP Negeri 1 Karangmoncol</t>
  </si>
  <si>
    <t>1.01.62</t>
  </si>
  <si>
    <t>UPT SMP Negeri 2 Karangmoncol</t>
  </si>
  <si>
    <t>Sub Jml UPT SMP Negeri 2 Karangmoncol</t>
  </si>
  <si>
    <t>1.01.63</t>
  </si>
  <si>
    <t>UPT SMP Negeri 1 Karanganyar</t>
  </si>
  <si>
    <t>Sub Jml UPT SMP Negeri 1 Karanganyar</t>
  </si>
  <si>
    <t>1.01.64</t>
  </si>
  <si>
    <t>UPT SMP Negeri 1 Kertanegara</t>
  </si>
  <si>
    <t>Sub Jml UPT SMP Negeri 1 Kertanegara</t>
  </si>
  <si>
    <t>1.01.65</t>
  </si>
  <si>
    <t>UPT SMP Negeri 2 Kertanegara</t>
  </si>
  <si>
    <t>Sub Jml UPT SMP Negeri 2 Kertanegara</t>
  </si>
  <si>
    <t>1.01.66</t>
  </si>
  <si>
    <t>UPT SMP Negeri 1 Bojongsari</t>
  </si>
  <si>
    <t>Sub Jml UPT SMP Negeri 1 Bojongsari</t>
  </si>
  <si>
    <t>1.01.67</t>
  </si>
  <si>
    <t>UPT SMP Negeri 2 Bojongsari</t>
  </si>
  <si>
    <t>Sub Jml UPT SMP Negeri 2 Bojongsari</t>
  </si>
  <si>
    <t>1.01.68</t>
  </si>
  <si>
    <t>UPT SMP Negeri 1 Mrebet</t>
  </si>
  <si>
    <t>Sub Jml UPT SMP Negeri 1 Mrebet</t>
  </si>
  <si>
    <t>1.01.69</t>
  </si>
  <si>
    <t>UPT SMP Negeri 2 Mrebet</t>
  </si>
  <si>
    <t>Sub Jml UPT SMP Negeri 2 Mrebet</t>
  </si>
  <si>
    <t>1.01.70</t>
  </si>
  <si>
    <t>UPT SMP Negeri 3 Mrebet</t>
  </si>
  <si>
    <t>Sub Jml UPT SMP Negeri 3 Mrebet</t>
  </si>
  <si>
    <t>1.01.71</t>
  </si>
  <si>
    <t>UPT SMP Negeri 1 Bobotsari</t>
  </si>
  <si>
    <t>Sub Jml UPT SMP Negeri 1 Bobotsari</t>
  </si>
  <si>
    <t>1.01.72</t>
  </si>
  <si>
    <t>UPT SMP Negeri 2 Bobotsari</t>
  </si>
  <si>
    <t>Sub Jml UPT SMP Negeri 2 Bobotsari</t>
  </si>
  <si>
    <t>1.01.73</t>
  </si>
  <si>
    <t>UPT SMP Negeri 3 Bobotsari</t>
  </si>
  <si>
    <t>Sub Jml UPT SMP Negeri 3 Bobotsari</t>
  </si>
  <si>
    <t>1.01.74</t>
  </si>
  <si>
    <t>UPT SMP Negeri 5 Mrebet</t>
  </si>
  <si>
    <t>Sub Jml UPT SMP Negeri 5 Mrebet</t>
  </si>
  <si>
    <t>1.01.75</t>
  </si>
  <si>
    <t>UPT SMA Negeri 1 Padamara</t>
  </si>
  <si>
    <t>Sub Jml UPT SMA Negeri 1 Padamara</t>
  </si>
  <si>
    <t>1.01.76</t>
  </si>
  <si>
    <t>UPT SMK Negeri 1 Kaligondang</t>
  </si>
  <si>
    <t>Pembangunan Pagar Keliling SMK N Kaligondang</t>
  </si>
  <si>
    <t>Bantuan Fasilitasi Pengembangan Tempat Uji Kompetensi (TUK) SMK (Bangub)</t>
  </si>
  <si>
    <t>Sub Jml UPT SMK Negeri 1 Kaligondang</t>
  </si>
  <si>
    <t>1.01.77</t>
  </si>
  <si>
    <t>UPT SMP Negeri 3 Kutasari</t>
  </si>
  <si>
    <t>Pembangunan Pagar Keliling SMP N 3 Kutasari</t>
  </si>
  <si>
    <t>Sub Jml UPT SMP Negeri 3 Kutasari</t>
  </si>
  <si>
    <t>1.01.78</t>
  </si>
  <si>
    <t>UPT SMP Negeri 4 Mrebet</t>
  </si>
  <si>
    <t>Sub Jml UPT SMP Negeri 4 Mrebet</t>
  </si>
  <si>
    <t>1.01.79</t>
  </si>
  <si>
    <t>UPT SMP Negeri 2 Karangjambu</t>
  </si>
  <si>
    <t>Sub Jml UPT SMP Negeri 2 Karangjambu</t>
  </si>
  <si>
    <t>1.01.80</t>
  </si>
  <si>
    <t>UPT SMP Negeri 3 Karangreja</t>
  </si>
  <si>
    <t>Sub Jml UPT SMP Negeri 3 Karangreja</t>
  </si>
  <si>
    <t>1.01.81</t>
  </si>
  <si>
    <t>UPT SMP Negeri 3 Karangmoncol</t>
  </si>
  <si>
    <t>Sub Jml UPT SMP Negeri 3 Karangmoncol</t>
  </si>
  <si>
    <t>1.01.82</t>
  </si>
  <si>
    <t>UPT SMP Negeri 3 Pengadegan</t>
  </si>
  <si>
    <t>Sub Jml UPT SMP Negeri 3 Pengadegan</t>
  </si>
  <si>
    <t>1.01.83</t>
  </si>
  <si>
    <t>UPT SMP Negeri 4 Bobotsari</t>
  </si>
  <si>
    <t>Sub Jml UPT SMP Negeri 4 Bobotsari</t>
  </si>
  <si>
    <t>1.01.84</t>
  </si>
  <si>
    <t>UPT SMP Negeri 4 Kutasari</t>
  </si>
  <si>
    <t>Sub Jml UPT SMP Negeri 4 Kutasari</t>
  </si>
  <si>
    <t>1.01.85</t>
  </si>
  <si>
    <t>UPT SMP Negeri 4 Kemangkon</t>
  </si>
  <si>
    <t>Sub Jml UPT SMP Negeri 4 Kemangkon</t>
  </si>
  <si>
    <t>1.01.86</t>
  </si>
  <si>
    <t>UPT SMP Negeri 4 Rembang</t>
  </si>
  <si>
    <t>Sub Jml UPT SMP Negeri 4 Rembang</t>
  </si>
  <si>
    <t>1.01.87</t>
  </si>
  <si>
    <t>UPT SMK Negeri 1 Bukateja</t>
  </si>
  <si>
    <t>Bantuan Fasilitasi Carier Center SMK (Ban Gub)</t>
  </si>
  <si>
    <t>Sub Jml UPT SMK Negeri 1 Bukateja</t>
  </si>
  <si>
    <t>1.01.88</t>
  </si>
  <si>
    <t>UPT SMK Negeri 1 Bojongsari</t>
  </si>
  <si>
    <t>Bantuan Penyelenggaraan Program Kelas Industri SMK (Bangub)</t>
  </si>
  <si>
    <t>Sub Jml UPT SMK Negeri 1 Bojongsari</t>
  </si>
  <si>
    <t>1.01.89</t>
  </si>
  <si>
    <t>UPT SMK Negeri 3 Purbalingga</t>
  </si>
  <si>
    <t>17.037</t>
  </si>
  <si>
    <t>Pengelolaan Asrama SMK N 3 Purbalingga</t>
  </si>
  <si>
    <t>Sub Jml UPT SMK Negeri 3 Purbalingga</t>
  </si>
  <si>
    <t>1.01.90</t>
  </si>
  <si>
    <t>UPT SMK Negeri 1 Rembang</t>
  </si>
  <si>
    <t>17.13</t>
  </si>
  <si>
    <t>Bantuan Fasilitasi Pengelolaan Bursa Kerja Khusus (BKK) SMK (Ban Gub)</t>
  </si>
  <si>
    <t>Sub Jml UPT SMK Negeri 1 Rembang</t>
  </si>
  <si>
    <t>1.01.91</t>
  </si>
  <si>
    <t>UPT SMK Negeri 1 Kutasari</t>
  </si>
  <si>
    <t>17.15</t>
  </si>
  <si>
    <t>17.23</t>
  </si>
  <si>
    <t>Bantuan Pembangunan RKB SMK (Ban Gub)</t>
  </si>
  <si>
    <t>17.60</t>
  </si>
  <si>
    <t>Pembangunan Pagar Keliling SMK N 1 Kutasari</t>
  </si>
  <si>
    <t>Sub Jml UPT SMK Negeri 1 Kutasari</t>
  </si>
  <si>
    <t>1.01.92</t>
  </si>
  <si>
    <t>UPT SMK Negeri 1 Karanganyar</t>
  </si>
  <si>
    <t>17.47</t>
  </si>
  <si>
    <t>Bantuan Peningkatan Sarana dan Prasarana Sanitasi SMK (Bangub)</t>
  </si>
  <si>
    <t>Sub Jml UPT SMK Negeri 1 Karanganyar</t>
  </si>
  <si>
    <t>1.02.03</t>
  </si>
  <si>
    <t>UPTD RB Panti Nugroho</t>
  </si>
  <si>
    <t>Penyediaan Bahan dan Jasa Pelayanan Kesehatan</t>
  </si>
  <si>
    <t>Sub Jml UPTD RB Panti Nugroho</t>
  </si>
  <si>
    <t>1.02.04</t>
  </si>
  <si>
    <t>UPTD Puskesmas Purbalingga</t>
  </si>
  <si>
    <t>Upaya Pelayanan Kesehatan</t>
  </si>
  <si>
    <t>Fasilitasi Kegiatan Promotif, Preventif, Kuratif dan Rehabilitatif</t>
  </si>
  <si>
    <t>Sub Jml UPTD Puskesmas Purbalingga</t>
  </si>
  <si>
    <t>1.02.05</t>
  </si>
  <si>
    <t>UPTD Puskesmas Bojong</t>
  </si>
  <si>
    <t>17.04</t>
  </si>
  <si>
    <t>18.01</t>
  </si>
  <si>
    <t>Sub Jml UPTD Puskesmas Bojong</t>
  </si>
  <si>
    <t>1.02.06</t>
  </si>
  <si>
    <t>UPTD Puskesmas Kutasari</t>
  </si>
  <si>
    <t>Sub Jml UPTD Puskesmas Kutasari</t>
  </si>
  <si>
    <t>1.02.07</t>
  </si>
  <si>
    <t>UPTD Puskesmas Bojongsari</t>
  </si>
  <si>
    <t>Sub Jml UPTD Puskesmas Bojongsari</t>
  </si>
  <si>
    <t>1.02.08</t>
  </si>
  <si>
    <t>UPTD Puskesmas Kalimanah</t>
  </si>
  <si>
    <t>Sub Jml UPTD Puskesmas Kalimanah</t>
  </si>
  <si>
    <t>1.02.09</t>
  </si>
  <si>
    <t>UPTD Puskesmas Padamara</t>
  </si>
  <si>
    <t>Sub Jml UPTD Puskesmas Padamara</t>
  </si>
  <si>
    <t>1.02.10</t>
  </si>
  <si>
    <t>UPTD Puskesmas Kemangkon</t>
  </si>
  <si>
    <t>Sub Jml UPTD Puskesmas Kemangkon</t>
  </si>
  <si>
    <t>1.02.11</t>
  </si>
  <si>
    <t>UPTD Puskesmas Kaligondang</t>
  </si>
  <si>
    <t>Sub Jml UPTD Puskesmas Kaligondang</t>
  </si>
  <si>
    <t>1.02.12</t>
  </si>
  <si>
    <t>UPTD Puskesmas Kalikajar</t>
  </si>
  <si>
    <t>Sub Jml UPTD Puskesmas Kalikajar</t>
  </si>
  <si>
    <t>1.02.13</t>
  </si>
  <si>
    <t>UPTD Puskesmas Kejobong</t>
  </si>
  <si>
    <t>Sub Jml UPTD Puskesmas Kejobong</t>
  </si>
  <si>
    <t>1.02.14</t>
  </si>
  <si>
    <t>UPTD Puskesmas Pangadegan</t>
  </si>
  <si>
    <t>Sub Jml UPTD Puskesmas Pangadegan</t>
  </si>
  <si>
    <t>UPTD Puskesmas Bukateja</t>
  </si>
  <si>
    <t>Sub Jml UPTD Puskesmas Bukateja</t>
  </si>
  <si>
    <t>UPTD Puskesmas Kutawis</t>
  </si>
  <si>
    <t>Sub Jml UPTD Puskesmas Kutawis</t>
  </si>
  <si>
    <t>UPTD Puskesmas Rembang</t>
  </si>
  <si>
    <t>Sub Jml UPTD Puskesmas Rembang</t>
  </si>
  <si>
    <t>UPTD Puskesmas Karanganyar</t>
  </si>
  <si>
    <t>Sub Jml UPTD Puskesmas Karanganyar</t>
  </si>
  <si>
    <t>UPTD Puskesmas Karangmoncol</t>
  </si>
  <si>
    <t>Sub Jml UPTD Puskesmas Karangmoncol</t>
  </si>
  <si>
    <t>UPTD Puskesmas Karangtengah</t>
  </si>
  <si>
    <t>Sub Jml UPTD Puskesmas Karangtengah</t>
  </si>
  <si>
    <t>UPTD Puskesmas Bobotsari</t>
  </si>
  <si>
    <t>Sub Jml UPTD Puskesmas Bobotsari</t>
  </si>
  <si>
    <t>UPTD Puskesmas Mrebet</t>
  </si>
  <si>
    <t>Sub Jml UPTD Puskesmas Mrebet</t>
  </si>
  <si>
    <t>UPTD Puskesmas Serayu Larangan</t>
  </si>
  <si>
    <t>Sub Jml UPTD Puskesmas Serayu Larangan</t>
  </si>
  <si>
    <t>UPTD Puskesmas Karangreja</t>
  </si>
  <si>
    <t>Sub Jml UPTD Puskesmas Karangreja</t>
  </si>
  <si>
    <t>1.02.25</t>
  </si>
  <si>
    <t>UPTD Puskesmas Karangjambu</t>
  </si>
  <si>
    <t>Sub Jml UPTD Puskesmas Karangjambu</t>
  </si>
  <si>
    <t>1.02.26</t>
  </si>
  <si>
    <t>UPTD Labkeskab</t>
  </si>
  <si>
    <t>Sub Jml UPTD Labkeskab</t>
  </si>
  <si>
    <t>Sub Jml Sekretariat Daerah</t>
  </si>
  <si>
    <t>1.20.04</t>
  </si>
  <si>
    <t>Sekretariat DPRD</t>
  </si>
  <si>
    <t>Penyusunan dan Penerbitan Majalah Gema Legislatif</t>
  </si>
  <si>
    <t>Program Peningkatan Kapasitas Lembaga Perwakilan Rakyat Daerah</t>
  </si>
  <si>
    <t>Pembahasan Rancangan Peraturan Daerah</t>
  </si>
  <si>
    <t>Peningkatan Kapasitas Pimpinan dan Anggota DPRD</t>
  </si>
  <si>
    <t>Reses</t>
  </si>
  <si>
    <t>Rapat-rapat Alat Kelengkapan DPRD</t>
  </si>
  <si>
    <t>Sosialisasi dan Dokumentasi Produk Hukum DPRD</t>
  </si>
  <si>
    <t>Sub Jml Sekretariat DPRD</t>
  </si>
  <si>
    <t>Pengadaan Aspal Bantuan Imbal Swadaya Masyarakat</t>
  </si>
  <si>
    <t>kegiatan</t>
  </si>
  <si>
    <t xml:space="preserve">BELUM </t>
  </si>
  <si>
    <t>Zein Perwira Mandiri</t>
  </si>
  <si>
    <t>PT Buton Tirto Baskoro</t>
  </si>
  <si>
    <t>PT Agra Sinar Puripratama</t>
  </si>
  <si>
    <t>CV Sidamukti</t>
  </si>
  <si>
    <t>CV Tunas Muda</t>
  </si>
  <si>
    <t>Karunia Jaya</t>
  </si>
  <si>
    <t>Selabaya Indah Pratama</t>
  </si>
  <si>
    <t>CV Bersama kita Bisa</t>
  </si>
  <si>
    <t>CV Karya Hutama</t>
  </si>
  <si>
    <t>CV Giri Utama</t>
  </si>
  <si>
    <t>CV Anggoro kasih</t>
  </si>
  <si>
    <t>CV Wijaya Kusuma</t>
  </si>
  <si>
    <t>PT Panca Karya Sentosa</t>
  </si>
  <si>
    <t>CV Tri Hutama</t>
  </si>
  <si>
    <t>CV Atmajaya</t>
  </si>
  <si>
    <t>CV Sidareja</t>
  </si>
  <si>
    <t>CV Tunas Jaya</t>
  </si>
  <si>
    <t>CV Sida mukti</t>
  </si>
  <si>
    <t>CV Linggsari</t>
  </si>
  <si>
    <t>CV Makmur Bersaudara</t>
  </si>
  <si>
    <t>CV Setya Karya</t>
  </si>
  <si>
    <t>CV Kharomah</t>
  </si>
  <si>
    <t>CV Trihutama</t>
  </si>
  <si>
    <t>CV Duta Kartika</t>
  </si>
  <si>
    <t>CV Laksana Muda</t>
  </si>
  <si>
    <t>Bina Mitra Persada</t>
  </si>
  <si>
    <t>Penyusunan LAKIP 2014 dan Penetapan Kinerja 2015 Kabupaten Purbalingga</t>
  </si>
  <si>
    <t>CV Adhi Perkasa</t>
  </si>
  <si>
    <t>CV Viyan</t>
  </si>
  <si>
    <t>CV Bersama kita bisa</t>
  </si>
  <si>
    <t xml:space="preserve">CV Duta Karya </t>
  </si>
  <si>
    <t>CV Kharisma</t>
  </si>
  <si>
    <t>CV Andista</t>
  </si>
  <si>
    <t>CV Makmur bersaudara</t>
  </si>
  <si>
    <t>CV Tunas jaya</t>
  </si>
  <si>
    <t>CV Wijaya Kusuma Pratama</t>
  </si>
  <si>
    <t>CV Marga Mulya</t>
  </si>
  <si>
    <t>CV Abimanyu</t>
  </si>
  <si>
    <t>CV Pusta Harapan</t>
  </si>
  <si>
    <t>Zein perwira mandiri</t>
  </si>
  <si>
    <t>CV Sammy Jaya</t>
  </si>
  <si>
    <t>CV Bhakti Utama</t>
  </si>
  <si>
    <t>CV Tunasjaya</t>
  </si>
  <si>
    <t>PT Cahaya Utama Sentosa</t>
  </si>
  <si>
    <t>Maju nata</t>
  </si>
  <si>
    <t>CV alam lingga</t>
  </si>
  <si>
    <t>CV Rahayu Gemilang</t>
  </si>
  <si>
    <t>pilsung</t>
  </si>
  <si>
    <t>CV Diantama trafindo</t>
  </si>
  <si>
    <t>lelang</t>
  </si>
  <si>
    <t>biaya umum</t>
  </si>
  <si>
    <t>Rehabilitasi kolam pemijahan BBI Kutasari</t>
  </si>
  <si>
    <t>Rehabilitasi kolam pendederan BBI Kutasari</t>
  </si>
  <si>
    <t>Pembangunan Pagar Keliling BBI Kutasari</t>
  </si>
  <si>
    <t>Pembangunan Kolam Pembenihan Ds. Bojongsari</t>
  </si>
  <si>
    <t>Pengadaan HSRT Desa Kedungjati</t>
  </si>
  <si>
    <t>Pembangunan Kolam Budidaya Ds Patemon</t>
  </si>
  <si>
    <t>Pembangunan Kolam Budidaya Ds Sidanegara</t>
  </si>
  <si>
    <t>Pembangunan Kolam Budidaya Ds Gambarsari</t>
  </si>
  <si>
    <t>Pembangunan Kolam Budidaya Ds Kalitinggar</t>
  </si>
  <si>
    <t>Pembangunan Kolam Budidaya Ds Tegalpingen</t>
  </si>
  <si>
    <t>Pembangunan Kolam Budidaya Ikan Hias Kel Bancar</t>
  </si>
  <si>
    <t>Pembangunan Saluran Iniet Kawasan Budidaya Ds Cipawon</t>
  </si>
  <si>
    <t>Pembangunan Saluran Iniet Kawasan Budidaya Ds Lamuk</t>
  </si>
  <si>
    <t>Pembangunan Saluran Iniet Kawasan Budidaya Ds Onje</t>
  </si>
  <si>
    <t>Pembangunan Gudang Pakan Ds Banjarsari</t>
  </si>
  <si>
    <t>PL</t>
  </si>
  <si>
    <t>cv aditya pratama</t>
  </si>
  <si>
    <t>cv Cahaya Mas</t>
  </si>
  <si>
    <t>cv Empat Lima</t>
  </si>
  <si>
    <t>cv Rizky Artha</t>
  </si>
  <si>
    <t>cv Tri Hutama</t>
  </si>
  <si>
    <t>cv putra ponggawa</t>
  </si>
  <si>
    <t>cv putra pandu</t>
  </si>
  <si>
    <t>cv karya hutama</t>
  </si>
  <si>
    <t>cv nur</t>
  </si>
  <si>
    <t>cv angka wijaya</t>
  </si>
  <si>
    <t>cv adi karya mandiri</t>
  </si>
  <si>
    <t>cv aigas jaya</t>
  </si>
  <si>
    <t>cv qismo direjo</t>
  </si>
  <si>
    <t>cv serayu mas jaya</t>
  </si>
  <si>
    <t>cv lahan jaya</t>
  </si>
  <si>
    <t>Pembangunan Gudang Pakan Ds Kalitinggar Kidul</t>
  </si>
  <si>
    <t>Pembangunan Jalan Produksi Ds Patemon</t>
  </si>
  <si>
    <t>Pembangunan jalan Produksi Ds Onje</t>
  </si>
  <si>
    <t>Pembangunan jalan Produksi Ds Bajong</t>
  </si>
  <si>
    <t>Pengadaan Peralatan UPR</t>
  </si>
  <si>
    <t>Pengadaan Karamba Jaring Apung Ds Sumilir</t>
  </si>
  <si>
    <t>Pengadaan Peralatan Ikan Pokdakan Kab Pbg</t>
  </si>
  <si>
    <t>Pengadaan Terpal Pokdakan</t>
  </si>
  <si>
    <t>Pengadaan Sarpras Budidaya Ikan Hias</t>
  </si>
  <si>
    <t>Pengadaan calon induk ikan</t>
  </si>
  <si>
    <t>Pengadaan komputer</t>
  </si>
  <si>
    <t>Printer</t>
  </si>
  <si>
    <t>GU</t>
  </si>
  <si>
    <t>CV giri utama</t>
  </si>
  <si>
    <t>cv langgeng</t>
  </si>
  <si>
    <t>cv tunasmuda</t>
  </si>
  <si>
    <t>cv tiga putri</t>
  </si>
  <si>
    <t>cv bangun berkah abadi</t>
  </si>
  <si>
    <t>cv surya perdana</t>
  </si>
  <si>
    <t>top one</t>
  </si>
  <si>
    <t>Rehabilitasi Pasar ikan tradisional kutasari</t>
  </si>
  <si>
    <t>Rehabilitasi Pasar ikan tradisional Kembaran Kulon</t>
  </si>
  <si>
    <t>Rehabilitasi Kios Mini pemsaran hasil perikanan Kutasari</t>
  </si>
  <si>
    <t>Pengadaan Peralatan Pengolahan Sederhana</t>
  </si>
  <si>
    <t>pembangunan kolam stoking Ds. Mangunegara</t>
  </si>
  <si>
    <t>pembangunan kolam stoking Ds. Manduraga</t>
  </si>
  <si>
    <t>pembangunan kolam stoking Ds. Rabak</t>
  </si>
  <si>
    <t>pembangunan kolam stoking Ds. Grecol</t>
  </si>
  <si>
    <t>pembangunan kolam stoking Ds. Majaasem</t>
  </si>
  <si>
    <t>pembangunan kolam stoking Ds. Pangempon</t>
  </si>
  <si>
    <t>pembangunan kolam stoking Ds. Karangnangka</t>
  </si>
  <si>
    <t>pembangunan kolam stoking Ds. Banjarkerta</t>
  </si>
  <si>
    <t>pembangunan kolam stoking Ds. Kasih</t>
  </si>
  <si>
    <t>pembangunan kolam stoking Ds. Selaganggeng</t>
  </si>
  <si>
    <t>pembangunan kolam stoking Ds. Dagan</t>
  </si>
  <si>
    <t>Pembangunan Kios Mini Ds Kedungbenda</t>
  </si>
  <si>
    <t>Pembangunan Bangsal Pengolahan Ds Petemon</t>
  </si>
  <si>
    <t>Pembangunan Bangsal Pengolahan Ds Wirasana</t>
  </si>
  <si>
    <t>Pengadaan Peralatan Pemasaran Sederhana</t>
  </si>
  <si>
    <t>cv karunia jaya</t>
  </si>
  <si>
    <t>karunia jaya</t>
  </si>
  <si>
    <t>cv karya mandiri</t>
  </si>
  <si>
    <t>cv mitra purbalingga sejahtera</t>
  </si>
  <si>
    <t>cv multi cahaya</t>
  </si>
  <si>
    <t>cv rizky artha</t>
  </si>
  <si>
    <t>cv permata</t>
  </si>
  <si>
    <t>cv pembangunan adi wijaya</t>
  </si>
  <si>
    <t>cv gita kencana</t>
  </si>
  <si>
    <t>cv argokloso</t>
  </si>
  <si>
    <t>cv berkah sarna m</t>
  </si>
  <si>
    <t>cv gunung slamet</t>
  </si>
  <si>
    <t>cv karya lintang</t>
  </si>
  <si>
    <t>cv sejahtera</t>
  </si>
  <si>
    <t>cv romilida</t>
  </si>
  <si>
    <t>CV pusta harapan</t>
  </si>
  <si>
    <t>cv marga mulya</t>
  </si>
  <si>
    <t>Pengembangan Pusat Kesehatan Hewan(DAK)</t>
  </si>
  <si>
    <t>27/10/15</t>
  </si>
  <si>
    <t>180HK</t>
  </si>
  <si>
    <t>lelang umum</t>
  </si>
  <si>
    <t>17/8/15</t>
  </si>
  <si>
    <t>20/4/15</t>
  </si>
  <si>
    <t>1/4/2015</t>
  </si>
  <si>
    <t>27/4/15</t>
  </si>
  <si>
    <t>23/9/15</t>
  </si>
  <si>
    <t>180 HK</t>
  </si>
  <si>
    <t>17/4/15</t>
  </si>
  <si>
    <t>16/9/15</t>
  </si>
  <si>
    <t>24/8/15</t>
  </si>
  <si>
    <t>16/10/15</t>
  </si>
  <si>
    <t>CV Indomas sedjati</t>
  </si>
  <si>
    <t>PT Cahaya Bangunan Kota Wali</t>
  </si>
  <si>
    <t>CV Duta Karya</t>
  </si>
  <si>
    <t>pengadaan langsung</t>
  </si>
  <si>
    <t>18/7/15</t>
  </si>
  <si>
    <t>juksung</t>
  </si>
  <si>
    <t>7/4/15</t>
  </si>
  <si>
    <t>7/8/15</t>
  </si>
  <si>
    <t>27/8/15</t>
  </si>
  <si>
    <t>cv Bintang perwira</t>
  </si>
  <si>
    <t>16/4/15</t>
  </si>
  <si>
    <t>14/7/15</t>
  </si>
  <si>
    <t>cv Kautsar</t>
  </si>
  <si>
    <t>cv riran mutawalli</t>
  </si>
  <si>
    <t>Pembangunan IPAL Komunal Kel Kedungmenjangan Kec. Purbalingga</t>
  </si>
  <si>
    <t xml:space="preserve">Pembangunan IPAL Komunal Kel Karangmanyar  Kec. Kalimanah </t>
  </si>
  <si>
    <t>Pembangunan IPAL Komunal Desa  Sinduraja  Kec. Kaligondang</t>
  </si>
  <si>
    <t>Pembangunan IPAL Komunal Desa Tumanggal  Kec. Pengadegan</t>
  </si>
  <si>
    <t xml:space="preserve">Pembangunan IPAL Komunal Desa Karangsari  Kec. Kalimanah </t>
  </si>
  <si>
    <t>Pembangunan IPAL Komunal Desa Banjarkerta  Kec. Karanganyar</t>
  </si>
  <si>
    <t xml:space="preserve">Pembangunan SIPAS Desa Kedunglegok Kec. Kemangkon </t>
  </si>
  <si>
    <t xml:space="preserve">Pembangunan SIPAS Desa Selakambang Kec. Kaligondang </t>
  </si>
  <si>
    <t xml:space="preserve">Pembangunan SIPAS Desa Bedagas Kec. Pengadegan </t>
  </si>
  <si>
    <t>Pembangunan SIPAS Desa Pekalongan Kec. Bojongsari</t>
  </si>
  <si>
    <t>Pembangunan SIPAS Desa Serayu Kec. Karanganyar</t>
  </si>
  <si>
    <t>Pembangunan SIPAS Desa Pengalusan Kec. Mrebet</t>
  </si>
  <si>
    <t xml:space="preserve">Pembangunan SIPAS Desa Cendana Kec. Kutasari </t>
  </si>
  <si>
    <t>Pembangunan SIPAS Desa Limbasari Kec. Bobotsari</t>
  </si>
  <si>
    <t>Pembangunan SIPAS Desa Sanguwatang Kec. Karangjambu</t>
  </si>
  <si>
    <t>Pembangunan SIPAS Desa Sirau Kec. Karangmoncol</t>
  </si>
  <si>
    <t>Pembangunan SIPAS Desa Bodaskarangjati Kec. Rembang</t>
  </si>
  <si>
    <t>Pembangunan SIPAS Desa Gunungwuled Kec. Rembang</t>
  </si>
  <si>
    <t>cv mangunggal</t>
  </si>
  <si>
    <t>cv indesco developer</t>
  </si>
  <si>
    <t>cv jaya utama</t>
  </si>
  <si>
    <t>cv putra tiga</t>
  </si>
  <si>
    <t>14/8/15</t>
  </si>
  <si>
    <t>4/5/15</t>
  </si>
  <si>
    <t>31/8/15</t>
  </si>
  <si>
    <t>13/9/15</t>
  </si>
  <si>
    <t>cv rahayu gemilang</t>
  </si>
  <si>
    <t>cv bhakti utama</t>
  </si>
  <si>
    <t>30/10/15</t>
  </si>
  <si>
    <t>15/7/15</t>
  </si>
  <si>
    <t>cv zerapha mandiri grup</t>
  </si>
  <si>
    <t>29/1/15</t>
  </si>
  <si>
    <t>cv nasional</t>
  </si>
  <si>
    <t>cv bangkit jaya</t>
  </si>
  <si>
    <t>cv sinar kamal</t>
  </si>
  <si>
    <t>cv triasindo</t>
  </si>
  <si>
    <t>cv bardaniprima</t>
  </si>
  <si>
    <t>cv rahardjo</t>
  </si>
  <si>
    <t>PT krakatau indah</t>
  </si>
  <si>
    <t>cv divan insan cemerlang</t>
  </si>
  <si>
    <t>pt andhika bangun perkasa</t>
  </si>
  <si>
    <t>cv linggasari</t>
  </si>
  <si>
    <t>cv laksana muda</t>
  </si>
  <si>
    <t>cv tunas jaya</t>
  </si>
  <si>
    <t>cv hivdzu barokah</t>
  </si>
  <si>
    <t>cv karya jiesum</t>
  </si>
  <si>
    <t>cv setia mitra</t>
  </si>
  <si>
    <t>cv putra tunggal trans</t>
  </si>
  <si>
    <t>pemilihan langsung</t>
  </si>
  <si>
    <t>MASA SANGGAH</t>
  </si>
  <si>
    <t>Pengembangan Produktivitas Tanaman Nilam/lada  dan  Kelapa</t>
  </si>
  <si>
    <t>Fasilitasi RDKK Pupuk Bersubsidi</t>
  </si>
  <si>
    <t>Rehabilitasi Jaringan Irigasi Tersier(DAK)</t>
  </si>
  <si>
    <t>Pengembangan Jarngan Irigasi Tersier (DAK)</t>
  </si>
  <si>
    <t>Pembangunan/Rehabilitasi Jalan usaha Tani (DAK)</t>
  </si>
  <si>
    <t>Pengembangan Sumber-sumber air tanah (DAK)</t>
  </si>
  <si>
    <t>Pemeliharaan sim rs</t>
  </si>
  <si>
    <t>pt krakatau indah</t>
  </si>
  <si>
    <t>cv ananta p aya</t>
  </si>
  <si>
    <t>cv Kartika jaya</t>
  </si>
  <si>
    <t>pengadaan jala penangkap ikan pendek dan sempit</t>
  </si>
  <si>
    <t>pengadaan perahu playteser</t>
  </si>
  <si>
    <t>pengadaan jala penangkap ikan panjang dan lebar</t>
  </si>
  <si>
    <t>Pengadaan PH Meter</t>
  </si>
  <si>
    <t>Pengadaan Sound System</t>
  </si>
  <si>
    <t>Pengadaan Handycamp</t>
  </si>
  <si>
    <t>Pengadaan DO Meter</t>
  </si>
  <si>
    <t>cv Mitra pbg sej</t>
  </si>
  <si>
    <t>Rehab/renovasi Puskeswan Bobotsari</t>
  </si>
  <si>
    <t>Rehab/renovasi pagar keliling puskeswan Bobotsari</t>
  </si>
  <si>
    <t>Pengadaan sepeda motor</t>
  </si>
  <si>
    <t>Pengadaan alat-alat peternakan</t>
  </si>
  <si>
    <t>pengadaan personal komputer</t>
  </si>
  <si>
    <t>cv empat lima</t>
  </si>
  <si>
    <t>cv mataram</t>
  </si>
  <si>
    <t>appolo komputer</t>
  </si>
  <si>
    <t xml:space="preserve">  </t>
  </si>
  <si>
    <t>Fasilitasi Paguyuban Wisata Purbalingga (wisbangga)</t>
  </si>
  <si>
    <t>DAK</t>
  </si>
  <si>
    <t>Pengadaan Angkuatan Darat Bermotor</t>
  </si>
  <si>
    <t>Pengadaan Bangunan Gedung Kantor</t>
  </si>
  <si>
    <t>Pengadaan Rice Mill Unit</t>
  </si>
  <si>
    <t>Pembangunan Lantai Jemur</t>
  </si>
  <si>
    <t>Penyusunan LP2P</t>
  </si>
  <si>
    <t>EvaluasiDampak Program Penanggulangan Kemiskinan Daerah</t>
  </si>
  <si>
    <t>UPT Dinas Pendidikan Kec. Kaligondang</t>
  </si>
  <si>
    <t>UPT Dinas Pendidikan Kec. Karangmoncol</t>
  </si>
  <si>
    <t>UPT Dinas Pendidikan Kec. Pengadegan</t>
  </si>
  <si>
    <t>UPT Dinas Pendidikan Kec. Kertanegara</t>
  </si>
  <si>
    <t>UPT Dinas Pendidikan Kec.  Karangjambu</t>
  </si>
  <si>
    <t>1.03.23</t>
  </si>
  <si>
    <t>Pembangunan Pagar Keliling Kantor Kecamatan</t>
  </si>
  <si>
    <t>Pengembangan wilayah Kelurahan</t>
  </si>
  <si>
    <t>01.030</t>
  </si>
  <si>
    <t>Pengadaan Pakaian Dinas dan Pakaian Pemadam Anti api</t>
  </si>
  <si>
    <t xml:space="preserve">Sosialisasi Pencegahan Bahaya Kebakaran dan Simulasi Pemadam Kebakaran </t>
  </si>
  <si>
    <t>Pembangunan Pos Damkar</t>
  </si>
  <si>
    <t>Penanganan Longsor Sungai Gemuruh (lokasi makam Arantaka dan belakang kemenag)</t>
  </si>
  <si>
    <t>Fasilitasi Pencegahan dan Kesiapsiagaan Bencana</t>
  </si>
  <si>
    <t>Pemasangan Hydran BPBD</t>
  </si>
  <si>
    <t>Penanganan Longsor Talud Sungai Larangan RT 01 RW 03 Kel Purbalingga Lor</t>
  </si>
  <si>
    <t>Identifikasi Potensi dan Kondisi Gualawa dan Review Tapak gua lawa</t>
  </si>
  <si>
    <t>Penyusunan DED obyek Wisata Gua lawa</t>
  </si>
  <si>
    <t xml:space="preserve">Penyusunan Raperda Pariwisata </t>
  </si>
  <si>
    <t>Revitalisasi Museum Prof Sugarda</t>
  </si>
  <si>
    <t>Penataan Lingkungan Kantor Kecamatan</t>
  </si>
  <si>
    <t>Pavingisasi Halamanan Kecamatan Mrebet</t>
  </si>
  <si>
    <t>Fasilitasi Eco Distrik Perkotaan</t>
  </si>
  <si>
    <t>Penyusunan Roadmap Pengembangan Gula Kelapa Organik</t>
  </si>
  <si>
    <t>Fasilitasi Program Penataan dan Pelestarian Kota Pusaka (P3KP) dan Komunitas Hijau</t>
  </si>
  <si>
    <t>Faslitasi Tim Koordinasi Pemutakhiran Basis Data Terpadu PPLS 2015</t>
  </si>
  <si>
    <t>Penyusunan RAD AMPL Kab. Purbalingga</t>
  </si>
  <si>
    <t>Pembentukan Petugas Teknis Operasional Pol PP</t>
  </si>
  <si>
    <t>Penyusunan Raperda Ketertiban Umum</t>
  </si>
  <si>
    <t>Peningkatan Produksi dan Produktivitas Pajale dalam emndukung UPSUS Swasembada Pangan</t>
  </si>
  <si>
    <t>Pengadaan Tanah untuk Pembangunan BPK</t>
  </si>
  <si>
    <t>Pendampingan Pertanian Hidroponik</t>
  </si>
  <si>
    <t>Pendampingan UPSUS Pajale BPK</t>
  </si>
  <si>
    <t>Pendampingan UPSUS Pajale Kab. Purbalingga</t>
  </si>
  <si>
    <t>Peremajaan Pemancar Radio (RSP)</t>
  </si>
  <si>
    <t>Faslilitasi LPPL Radio Pemerintah Kab.Purbalingga</t>
  </si>
  <si>
    <t>Pengembangan Video Conference</t>
  </si>
  <si>
    <t>e-catalog</t>
  </si>
  <si>
    <t>cv sinar abadi</t>
  </si>
  <si>
    <t>cv anggoro kasih</t>
  </si>
  <si>
    <t>3/7/2015</t>
  </si>
  <si>
    <t>29/10/15</t>
  </si>
  <si>
    <t>Pematangan Lahan Perluasan Terminal Bobotsari</t>
  </si>
  <si>
    <t>Studi Kelayakan Taksi</t>
  </si>
  <si>
    <t>Pengadaan Faslitas Perlengkapan jalan</t>
  </si>
  <si>
    <t>Pembentukan dan Fasilitasi Tim Andalalin</t>
  </si>
  <si>
    <t>25/9/15</t>
  </si>
  <si>
    <t>23/10/15</t>
  </si>
  <si>
    <t>Pemeliharaan terminal</t>
  </si>
  <si>
    <t>Pembinaan Guru Madin dan Petugas P3N</t>
  </si>
  <si>
    <t>Pengadaan Alat Komunikasi VHF</t>
  </si>
  <si>
    <t>1.20.03.01</t>
  </si>
  <si>
    <t>Pembuatan Pos Penjagaan Kompleks Pendopo dan Setda</t>
  </si>
  <si>
    <t>CV qismo Direjo</t>
  </si>
  <si>
    <t>BiDANG KEBERSIHAM</t>
  </si>
  <si>
    <t xml:space="preserve">Pengadaan Dump Truk Sampah </t>
  </si>
  <si>
    <t>Pengembangan sarana Prasarana TPA Banjaran</t>
  </si>
  <si>
    <t>Penyelesaian Kegiatan Bidang Kebersihan dan Pertamanan (luncuran)</t>
  </si>
  <si>
    <t>Penyempurnaan Kios Taman Bojong</t>
  </si>
  <si>
    <t>Pemeliharaan Hutan Kota Depan SMK Negeri 3 Purbalingga</t>
  </si>
  <si>
    <t>Rehabilitasi Pagar Taman Terbuka Hijau Purbalingga Wetan</t>
  </si>
  <si>
    <t>Program Pembangunan, Peningkatan, Rehabilitasi dan Pemeliharaan Jalan dan Jembatan</t>
  </si>
  <si>
    <t>Penyelesaian Kegiatan Bidang Kebinamargaan' (luncuran)</t>
  </si>
  <si>
    <t>Penyusunan DED Jalan Bancar-Kecombron Ruas Kalikajar-Pagembrungan</t>
  </si>
  <si>
    <t>Pelebaran Jembatan Sungai Ponggawa Ruas Jalan Prigi-Purbayasa</t>
  </si>
  <si>
    <t>Penanganan Pasca Longsor Jalan Tunjungmuli-Panusupan Di Desa Panusupan</t>
  </si>
  <si>
    <t>Pembangunan Talud dan Pelengkap jalan Ruas Jalan Rajawana-Panusupan</t>
  </si>
  <si>
    <t>Pemeliharaan Berkala Jalan Kembangan - Panican</t>
  </si>
  <si>
    <t>Pemeliharaan Berkala Jalan Tunjungmuli-Panusupan</t>
  </si>
  <si>
    <t>Peningkatan Jalan Meri-Karangcegak Kec. Kutasari (lanjutan)</t>
  </si>
  <si>
    <t xml:space="preserve">Pemeliharaan Berkala Jalan Baleraksa-Kramat Kec. Karangmoncol </t>
  </si>
  <si>
    <t>Pemeliharaan Berkala Jalan Tamansari - Tajug</t>
  </si>
  <si>
    <t>Pemeliharaan Berkala Jalan Pekiringan - Tajug (lanjutan)</t>
  </si>
  <si>
    <t>Pemeliharaan Berkala jalan Walik-Karanggambas</t>
  </si>
  <si>
    <t>Pemeliharaan Berkala Jalan Bojong-Mrebet</t>
  </si>
  <si>
    <t>Pemeliharaan Berkala Jalan Tipar-Tunjungmuli</t>
  </si>
  <si>
    <t>Peningkatan jalan Limbangan (kutawis)-Pingit</t>
  </si>
  <si>
    <t>Peningkatan Jalan Dukuh Celeleng Kel. Wirasana</t>
  </si>
  <si>
    <t>Peningkatan Jalan Karangpinggir-Bukateja</t>
  </si>
  <si>
    <t>Peningkatan Jalan Binangun-Cipaku</t>
  </si>
  <si>
    <t>Peningkatan Jalan Tlahab Kidul-Tlahab Lor</t>
  </si>
  <si>
    <t>Pemeliharaan Berkala Jalan Toyareka - Purwasari</t>
  </si>
  <si>
    <t>Pemeliharaan Berkala Jalan Gambarsari-Jetis</t>
  </si>
  <si>
    <t>Pemeliharaan Berkala Jalan Berkala Jalan Gumiwang-Sokanegara</t>
  </si>
  <si>
    <t xml:space="preserve">Peningkatan Jalan Dagan - Palumbungan Wetan-Karangtalun </t>
  </si>
  <si>
    <t>Rehabilitasi Jembatan Ruas Jalan Gambarsari-Karangtengah Kec.Kemangkon</t>
  </si>
  <si>
    <t>Peningkatan Jalan Krenceng Kejobong</t>
  </si>
  <si>
    <t xml:space="preserve">Peningkatan Jalan Sinduraja-Gambiran -Penolih Kec. Kaligondang </t>
  </si>
  <si>
    <t>Pemeliharaan Berkala Jalan Toyareja -Jatisaba</t>
  </si>
  <si>
    <t>Rehabiltasi Jembatan Sungai Kledung Nini Dusun Kotakamba Desa Onje Kec. Mrebet</t>
  </si>
  <si>
    <t>Peningkatan Jalan Karangmanyar-Kalikabong</t>
  </si>
  <si>
    <t>Pemeliharaan Berkala Jalan Kedungwuluh-Padamara</t>
  </si>
  <si>
    <t>Pembangunan Drainase Jalan Raya Kejobong(depan terminal)</t>
  </si>
  <si>
    <t>Pembangunan Talud Jalan Bojongsari-Karangbanjar</t>
  </si>
  <si>
    <t>Pembangunan Talud Jalan Kabupaten Depan Balai Desa Kedungjati</t>
  </si>
  <si>
    <t xml:space="preserve">Peningkatan Jalan Pasar Grumung (Palumutan) - Bokol Kec. Kemangkon </t>
  </si>
  <si>
    <t>Peningkatan Jalan Penaruban- Sempor-Kaligondang</t>
  </si>
  <si>
    <t>Peningkatan Jalan Larangan-Pangempon (lanjutan) Kec. Pengadegan</t>
  </si>
  <si>
    <t>Peningkatan Jalan Larangan Puntuksuruh</t>
  </si>
  <si>
    <t>Peningkatan Jalan Metenggeng - Karangcegak</t>
  </si>
  <si>
    <t>Peningkatan Jalan Kucel-Cipaku Kec. Mrebet</t>
  </si>
  <si>
    <t>Peningkatan Jalan Langkap-Karangtengah Kec. Kertanegara</t>
  </si>
  <si>
    <t>Program Pembangunan, Peningkatan, Rehabilitasi dan Pemeliharaan Prasarana Irigasi dan Pengairan</t>
  </si>
  <si>
    <t>Fasilitasi Komisi Irigasi</t>
  </si>
  <si>
    <t>Penyelesaian Kegiatan Bidang Irigasi (luncuran)</t>
  </si>
  <si>
    <t>Rehabilitasi Saluran Irigasi Karangmalang Kec. Bobotsari</t>
  </si>
  <si>
    <t>Pembangunan Bedung Saluran Irigasi Planjan Desa Selabaya</t>
  </si>
  <si>
    <t>Pengadaan Tanah untuk Pengembangan Jaringan Daerah Irigasi Slinga</t>
  </si>
  <si>
    <t>Rehabilitasi Bendung Karangkemiri Akibat Banjir Desa Kalijaran</t>
  </si>
  <si>
    <t>Pengembangan Jaringan Air Bersih Pedesaan</t>
  </si>
  <si>
    <t>Pembangunan Serambi Masjid Sayid Kuning</t>
  </si>
  <si>
    <t xml:space="preserve">Pematangan Lahan Pemukiman Relokasi Korban Bencana Dukuh Cikal Desa Jingkang Kec. Karangjambu </t>
  </si>
  <si>
    <t xml:space="preserve"> Normalisasi Drainasse Jalan Ahmad Noor Kel Purbalingga Lor</t>
  </si>
  <si>
    <t>Rehabilitasi Gedung BAZNAS Kab. Purbalingga</t>
  </si>
  <si>
    <t>Penyelesaian Kegiatan Bidang Keciptakaryaan (lluncuran)</t>
  </si>
  <si>
    <t>Rehabilitasi Kantor Kelurahan Karangmanyar (lanjutan)</t>
  </si>
  <si>
    <t>Pembangunan Drainase Pendopo Cahyana</t>
  </si>
  <si>
    <t>Penyusunan DED Kompleks Kec. Karangmoncol</t>
  </si>
  <si>
    <t>Penyusunan DED Kompleks Kec. Kaligondang</t>
  </si>
  <si>
    <t>Program Fasilitasi Penyediaan Rumah Layak Huni</t>
  </si>
  <si>
    <t>Fasilitasi Rehabilitasi Rumah Tidak Layak Huni bagi Keluarga Miskin</t>
  </si>
  <si>
    <t>BIDANG ESDM</t>
  </si>
  <si>
    <t>Penyusunan DED Kompleks Kantor Kelurahan Purbalingga Wetan</t>
  </si>
  <si>
    <t>Penyelesaian Kegiatan Bidang ESDM (luncuran)</t>
  </si>
  <si>
    <t>Pengadaan Lampu Penerangan Jalan Desa Panusupan Kec. Rambang</t>
  </si>
  <si>
    <t>Pemasangan Lampu Hias Jalan</t>
  </si>
  <si>
    <t>Pengadaan Lampu Penerangan Jalan Penambongan</t>
  </si>
  <si>
    <t>Pemasangan Lampu Penerangan Jalan pada Jembatan Kedung Ula ke Timur dan Selatan</t>
  </si>
  <si>
    <t>Inventarisasi dan Analisis Potensi Perkembangan</t>
  </si>
  <si>
    <t>Pengadaan Lampu Penerangan Jalan Karanggambas-Karangklesem</t>
  </si>
  <si>
    <t>Penyusunan Rancangan  RPJMD Kabupaten Purbalingga 2015-2020</t>
  </si>
  <si>
    <t>01.15.04</t>
  </si>
  <si>
    <t>Bantuan Operasional PAUD/TK/RA/BA</t>
  </si>
  <si>
    <t>01.15.13</t>
  </si>
  <si>
    <t>Penyempurnaan Gedung PAUD Baru Desa Losari, Karangjambu, dan Slinga</t>
  </si>
  <si>
    <t>Sosialisasi Model Pembinaan kepada PAUD Holitik Integratif (Bangub)</t>
  </si>
  <si>
    <t>Bantuan Penguatan Organisasi Mitra PAUD (Bangub)</t>
  </si>
  <si>
    <t>Rehabilitasi TK Pertiwi Penambongan 2</t>
  </si>
  <si>
    <t>Penanganan Longsor Gedung PAUD Desa Bojong Kec. Mrebet</t>
  </si>
  <si>
    <t>Penyelesaian Bantuan Pembangunan Unit Gedung Baru (UGB) PAUD Terpadu (luncuran Bangub)</t>
  </si>
  <si>
    <t>Penyelesaian Kegiatan Bantuan Pengadaan APE PAUD (luncuran Bangub)</t>
  </si>
  <si>
    <t>Pengembangan Sarana Prasarana PAUD</t>
  </si>
  <si>
    <t>01.15.16</t>
  </si>
  <si>
    <t>01.15.17</t>
  </si>
  <si>
    <t>01.15.18</t>
  </si>
  <si>
    <t>01.15.19</t>
  </si>
  <si>
    <t>01.15.20</t>
  </si>
  <si>
    <t>01.15.21</t>
  </si>
  <si>
    <t>01.15.23</t>
  </si>
  <si>
    <t>01.16.30</t>
  </si>
  <si>
    <t>Bantuan Penyelenggaraan Pendidikan Paket A (Ban Gub)</t>
  </si>
  <si>
    <t>01.16.31</t>
  </si>
  <si>
    <t>Bantuan Penyelenggaraan Pendidikan Paket B (Ban Gub)</t>
  </si>
  <si>
    <t>01.16.52</t>
  </si>
  <si>
    <t>01.16.53</t>
  </si>
  <si>
    <t>Pemenuhan Sarana Prasarana SD/SDLB (luncuran DAK)</t>
  </si>
  <si>
    <t>Pemenuhan Sarana Prasarana SMP (luncuran DAK)</t>
  </si>
  <si>
    <t>01.16.64</t>
  </si>
  <si>
    <t>01.16.65</t>
  </si>
  <si>
    <t>01.16.67</t>
  </si>
  <si>
    <t>Pemenuhan Sarana Prasarana SD/SDLB (luncuran DAK 2013)</t>
  </si>
  <si>
    <t>Pemenuhan Sarana Prasarana SMP (luncuran DAK 2013)</t>
  </si>
  <si>
    <t>Rehabilitasi Ruang Kelas dan Sanitasi SMP 2 Abdi Negara Padamara</t>
  </si>
  <si>
    <t>01.16.71</t>
  </si>
  <si>
    <t>01.16.72</t>
  </si>
  <si>
    <t>01.16.73</t>
  </si>
  <si>
    <t>Pengadaan Tanah SD dan SMP</t>
  </si>
  <si>
    <t>Rehabilitasi Gedung Madrasah</t>
  </si>
  <si>
    <t>Penanganan Anak Usia Sekolah Tidak Sekolah</t>
  </si>
  <si>
    <t>01.17.19</t>
  </si>
  <si>
    <t>Bantuan Penyelenggaraan Pendidikan Paket C (Ban Gub)</t>
  </si>
  <si>
    <t>01.17.31</t>
  </si>
  <si>
    <t>01.17.65</t>
  </si>
  <si>
    <t>01.17.66</t>
  </si>
  <si>
    <t>01.17.67</t>
  </si>
  <si>
    <t>01.17.68</t>
  </si>
  <si>
    <t>01.17.69</t>
  </si>
  <si>
    <t>01.17.79</t>
  </si>
  <si>
    <t>01.17.80</t>
  </si>
  <si>
    <t>Penyelesaian Kegiatan Pemenuhan Sarana Prasarama SMA (Luncuran DAK)</t>
  </si>
  <si>
    <t>Penyelesaian Kegiatan Pemenuhan Sarana Prasarana SMK (Luncuran DAK)</t>
  </si>
  <si>
    <t>Penyelesaian Kegiatan Bantuan Pembangunan RKB SMA/SMK (luncuran)</t>
  </si>
  <si>
    <t>Penyelesaian Kegiatan Bantuan Fasilitasi Sanitasi Sekolah (luncuran)</t>
  </si>
  <si>
    <t>Penyelesaian Kegiatan Bantuan Pengadaan Alat Multimedia SMK (luncuran)</t>
  </si>
  <si>
    <t>Pelaksanaan Pembinaan OSTN SMK</t>
  </si>
  <si>
    <t>Eksibisi SMA/SMK dan Kearifan Lokal</t>
  </si>
  <si>
    <t>01.18.02</t>
  </si>
  <si>
    <t>01.18.04</t>
  </si>
  <si>
    <t>Bantuan Fasilitasi Keaksaraan Lanjutan (Ban Gub)</t>
  </si>
  <si>
    <t>01.18.14</t>
  </si>
  <si>
    <t>01.18.15</t>
  </si>
  <si>
    <t>01.18.16</t>
  </si>
  <si>
    <t>01.18.17</t>
  </si>
  <si>
    <t>01.18.18</t>
  </si>
  <si>
    <t>01.18.19</t>
  </si>
  <si>
    <t>01.18.20</t>
  </si>
  <si>
    <t>01.18.21</t>
  </si>
  <si>
    <t>Bantuan Fasilitasi Keaksaraan Dasar (Bangub)</t>
  </si>
  <si>
    <t>Bantuan Fasilitasi Rintisan Taman Bacaan Masyarakat (TBM) Desa Vokasi (Bangub)</t>
  </si>
  <si>
    <t>Bantuan Pengembangan Pusat Kegiatan Belajar Masyarakat (PKBM) (Bangub)</t>
  </si>
  <si>
    <t>Bantuan Penguatan Kelembagaan Kursus dan Pelatihan (LKP) (Bangub)</t>
  </si>
  <si>
    <t>Bantuan Fasilitasi Penguatan Manajemen Desa Vokasi (Bangub)</t>
  </si>
  <si>
    <t>Bantuan Penyelenggaraan Paket C (Bangub)</t>
  </si>
  <si>
    <t>Fasilitasi Keaksaraan Lanjutan</t>
  </si>
  <si>
    <t>Bantuan Penyelenggaraan PKBM</t>
  </si>
  <si>
    <t>01.19.34</t>
  </si>
  <si>
    <t>01.19.35</t>
  </si>
  <si>
    <t>Fasilitasi Bantuan Keuangan Bidang Ketenagaan</t>
  </si>
  <si>
    <t>Lomba Olimpiade Sains, Inovasi Pembelajaran, dan Guru SMK Produktif</t>
  </si>
  <si>
    <t>01.04</t>
  </si>
  <si>
    <t>01.082</t>
  </si>
  <si>
    <t>Pembangunan Paving SMA N 2 Purbalingga</t>
  </si>
  <si>
    <t>01.71</t>
  </si>
  <si>
    <t>Penyelesaian Kegiatan Bantuan Pengembangan Mutu SMK (luncuran)</t>
  </si>
  <si>
    <t>01.070</t>
  </si>
  <si>
    <t>Pembangunan Pagar Keliling SMPN 5 Mrebet</t>
  </si>
  <si>
    <t>01.069</t>
  </si>
  <si>
    <t>Pembangunan Pagar Keliling SMPN 3 Pengadegan</t>
  </si>
  <si>
    <t>17.073</t>
  </si>
  <si>
    <t>17.081</t>
  </si>
  <si>
    <t>Penyelesaian Kegiatan Pengadaan Alat Multimedia SMA (luncuran)</t>
  </si>
  <si>
    <t>Pembangunan Bengkel SMK Negeri 3 Purbalingga</t>
  </si>
  <si>
    <t>Pengadaan Obat dan Perbekalan Kesehatan untuk Pelayanan Kesehatan Dasar (luncuran DAK)</t>
  </si>
  <si>
    <t>22.010</t>
  </si>
  <si>
    <t>Penyusunan DED Puskesmas Rembang</t>
  </si>
  <si>
    <t>Penyusunan DED RSKBD Panti Nugroho</t>
  </si>
  <si>
    <t>Pengadaan Tanah untuk Pembangunan Puskesmas Rembang</t>
  </si>
  <si>
    <t>Pengadaan Peralatan Kesehatan</t>
  </si>
  <si>
    <t>Pembangunan PKD</t>
  </si>
  <si>
    <t>Pengadaan Sarana Kesehatan Puskesmas</t>
  </si>
  <si>
    <t>Pelestarian Pohon di Perkotaan</t>
  </si>
  <si>
    <t>Validasi dan Verifikasi PBI JKN</t>
  </si>
  <si>
    <t>Fasilitasi Pendampingan RUTILAHU dan KUBE</t>
  </si>
  <si>
    <t>Penataan Lingkungan Pasar Hartono</t>
  </si>
  <si>
    <t>Pengadaan Tanah untuk Pembangunan Pasar Kutasari</t>
  </si>
  <si>
    <t>28.011</t>
  </si>
  <si>
    <t>28.012</t>
  </si>
  <si>
    <t>Fasilitasi Kegiatan Tim Pengendalian Inflasi Daerah (TPID)</t>
  </si>
  <si>
    <t>Pendampingan Lembaga Keuangan Mikro</t>
  </si>
  <si>
    <t>26.006</t>
  </si>
  <si>
    <t>Peningkatan Kapasitas dan Kompetensi Pemeriksa</t>
  </si>
  <si>
    <t>Pembangunan Rumah Dinas Kecamatan Kemangkon</t>
  </si>
  <si>
    <t>Rehabilitasi Pagar Keliling dan Parkir Kendaraan Kantor Kecamatan</t>
  </si>
  <si>
    <t>Renovasi Aula Kecamatan Karangmoncol</t>
  </si>
  <si>
    <t>Pembangunan Pagar Keliling dan Pavingisasi Kantor Kec. Bojongsari</t>
  </si>
  <si>
    <t>Renovasi Gedung Kantor Kecamatan Pengadegan</t>
  </si>
  <si>
    <t>Penyelesaian Pendopo Kecamatan</t>
  </si>
  <si>
    <t>Pematangan Lahan dan Penataan Lingkungan Kantor Kecamatan</t>
  </si>
  <si>
    <t>023.03</t>
  </si>
  <si>
    <t>Pengembangan Wilayah Kelurahan</t>
  </si>
  <si>
    <t>021.53</t>
  </si>
  <si>
    <t>Rehabilitasi Kantor Kelurahan Penambongan</t>
  </si>
  <si>
    <t>23.03</t>
  </si>
  <si>
    <t>023.33</t>
  </si>
  <si>
    <t>Implementasi e-PUPNS</t>
  </si>
  <si>
    <t>Assesment PNS</t>
  </si>
  <si>
    <t>Bantuan Operasional Bantuan Keuangan Desa Berdikari, Desa Pemula dan Desa Prakarsa (Bangub)</t>
  </si>
  <si>
    <t>Pembinaan Pelaksanaan Musrenbang Desa</t>
  </si>
  <si>
    <t>Pembinaan KPP USRI Pasca Program</t>
  </si>
  <si>
    <t>Pemeriksaan Kesehatan Daging Kambing dan Ayam</t>
  </si>
  <si>
    <t>Fasilitasi PUMM Perikanan Budidaya</t>
  </si>
  <si>
    <t>Penyelesaian Kegiatan Penyediaan Sarana dan Prasarana Pemasaran (Luncuran DAK)</t>
  </si>
  <si>
    <t>Penyelesaian Kegiatan Pengambangan Fasilitas Pemasaran Kawasan Budidaya Desa Bajong (luncuran)</t>
  </si>
  <si>
    <t>Peningkatan Kapasitas Usaha Poklahsar Hasil Perikanan</t>
  </si>
  <si>
    <t>15.034</t>
  </si>
  <si>
    <t>15.035</t>
  </si>
  <si>
    <t>15.036</t>
  </si>
  <si>
    <t>Festival Band dan Macapat</t>
  </si>
  <si>
    <t>Pengembangan Panggung Terbuka GOR Mahesa Jenar untuk Kesenian</t>
  </si>
  <si>
    <t>Renovasi Rumah Duplikat MTL Jenderal Soedirman</t>
  </si>
  <si>
    <t>Rehabilitasi GOR Mahesa Jenar</t>
  </si>
  <si>
    <t>Pengembangan Obyek Wisata Sungai Desa Kedungbenda</t>
  </si>
  <si>
    <t>Penghijauan/Reboisasi Kawasan Lindung Sekitar Mata Air dan Sungai</t>
  </si>
  <si>
    <t>JUMLAH KEGIATAN SESUDAH PERUBAHAN</t>
  </si>
  <si>
    <t>PT Nasmoco</t>
  </si>
  <si>
    <t>okt</t>
  </si>
  <si>
    <t>des</t>
  </si>
  <si>
    <t>CV mandala giri</t>
  </si>
  <si>
    <t>Okt</t>
  </si>
  <si>
    <t>CV Bawono</t>
  </si>
  <si>
    <t>CV qismo direjo</t>
  </si>
  <si>
    <t>CV arya mukti</t>
  </si>
  <si>
    <t>CV bhakti utama</t>
  </si>
  <si>
    <t>CV Julian</t>
  </si>
  <si>
    <t>20/10/15</t>
  </si>
  <si>
    <t>8/12/15</t>
  </si>
  <si>
    <t>CV Megah jaya</t>
  </si>
  <si>
    <t>CV Kanoman Lima Sekawan</t>
  </si>
  <si>
    <t>CV Bangkit Jaya</t>
  </si>
  <si>
    <t xml:space="preserve">UPT Dinas Pendidikan Kec. Kemangkon </t>
  </si>
  <si>
    <t>UPT Dinas Pendidikan Kec.Purbalingga</t>
  </si>
  <si>
    <t>UPT Dinas Pendidikan Kec. Karanganyar</t>
  </si>
  <si>
    <t xml:space="preserve"> Pemasangan Inst. Gas Medis DAK</t>
  </si>
  <si>
    <t>Penyusunan Rencana Tahunan (RTN) RHL 2016</t>
  </si>
  <si>
    <t>Perencanaan Rehabilitasi dan Penataan Lingkungan(akreditasi)</t>
  </si>
  <si>
    <t>pengadaan mobilperpustakaan keliling</t>
  </si>
  <si>
    <t>Pembinaan  Jiwa Kewirausahaan Pemuda</t>
  </si>
  <si>
    <t>s/d BULAN DESEMBER 2015</t>
  </si>
  <si>
    <t>Pengadaan alat kantor</t>
  </si>
  <si>
    <t>pengadaan alat rumah tangga</t>
  </si>
  <si>
    <t>pengadaan komputer</t>
  </si>
  <si>
    <t>pengadaan alat studio</t>
  </si>
  <si>
    <t>pengadaan alat komunikasi</t>
  </si>
  <si>
    <t>Pemantapan Program Kesehatan Jiwa (Purbalingga Bebas Pasung)/Pelayanan kesehatan jiwa</t>
  </si>
  <si>
    <t>Purbalingga, 12 April L2016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</si>
</sst>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.3"/>
      <color indexed="8"/>
      <name val="Arial Narrow"/>
      <family val="2"/>
    </font>
    <font>
      <b/>
      <sz val="10.5"/>
      <color indexed="8"/>
      <name val="Arial Narrow"/>
      <family val="2"/>
    </font>
    <font>
      <b/>
      <sz val="10.3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.5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.5"/>
      <name val="Arial Narrow"/>
      <family val="2"/>
    </font>
    <font>
      <b/>
      <sz val="11"/>
      <name val="Calibri"/>
      <family val="2"/>
      <scheme val="minor"/>
    </font>
    <font>
      <b/>
      <sz val="12"/>
      <name val="Arial Narrow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sz val="10.5"/>
      <color theme="1"/>
      <name val="Calibri"/>
      <family val="2"/>
      <scheme val="minor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u/>
      <sz val="10"/>
      <name val="Arial"/>
      <family val="2"/>
    </font>
    <font>
      <sz val="12"/>
      <color indexed="8"/>
      <name val="Times New Roman"/>
      <family val="1"/>
    </font>
    <font>
      <u/>
      <sz val="10"/>
      <color theme="1"/>
      <name val="Arial"/>
      <family val="2"/>
    </font>
    <font>
      <sz val="10.5"/>
      <color theme="1"/>
      <name val="Arial Narrow"/>
      <family val="2"/>
    </font>
    <font>
      <b/>
      <sz val="10.3"/>
      <name val="Arial Narrow"/>
      <family val="2"/>
    </font>
    <font>
      <sz val="9"/>
      <color rgb="FF000000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2"/>
      <color rgb="FFFF000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1"/>
      <color theme="1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Narrow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 Narrow"/>
      <family val="2"/>
    </font>
    <font>
      <sz val="10.3"/>
      <color theme="1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8" fillId="0" borderId="0"/>
  </cellStyleXfs>
  <cellXfs count="908">
    <xf numFmtId="0" fontId="0" fillId="0" borderId="0" xfId="0"/>
    <xf numFmtId="0" fontId="3" fillId="0" borderId="0" xfId="0" applyFont="1" applyAlignment="1"/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43" fontId="6" fillId="0" borderId="1" xfId="1" applyFont="1" applyBorder="1" applyAlignment="1">
      <alignment horizontal="left" vertical="top" indent="1"/>
    </xf>
    <xf numFmtId="37" fontId="5" fillId="0" borderId="1" xfId="0" applyNumberFormat="1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vertical="top"/>
    </xf>
    <xf numFmtId="0" fontId="8" fillId="0" borderId="8" xfId="0" applyFont="1" applyBorder="1" applyAlignment="1">
      <alignment horizontal="left" vertical="top" indent="1"/>
    </xf>
    <xf numFmtId="0" fontId="0" fillId="0" borderId="8" xfId="0" applyBorder="1" applyAlignment="1">
      <alignment vertical="top"/>
    </xf>
    <xf numFmtId="37" fontId="11" fillId="0" borderId="2" xfId="0" applyNumberFormat="1" applyFont="1" applyBorder="1" applyAlignment="1">
      <alignment vertical="top" wrapText="1"/>
    </xf>
    <xf numFmtId="37" fontId="12" fillId="0" borderId="8" xfId="0" applyNumberFormat="1" applyFont="1" applyBorder="1" applyAlignment="1">
      <alignment vertical="top"/>
    </xf>
    <xf numFmtId="0" fontId="0" fillId="0" borderId="9" xfId="0" applyBorder="1" applyAlignment="1">
      <alignment horizontal="center" vertical="top"/>
    </xf>
    <xf numFmtId="0" fontId="9" fillId="0" borderId="9" xfId="0" applyFont="1" applyBorder="1" applyAlignment="1">
      <alignment vertical="top" wrapText="1"/>
    </xf>
    <xf numFmtId="41" fontId="12" fillId="0" borderId="9" xfId="2" applyFont="1" applyBorder="1" applyAlignment="1">
      <alignment vertical="top" wrapText="1"/>
    </xf>
    <xf numFmtId="37" fontId="11" fillId="0" borderId="9" xfId="0" applyNumberFormat="1" applyFont="1" applyBorder="1" applyAlignment="1">
      <alignment vertical="top"/>
    </xf>
    <xf numFmtId="0" fontId="0" fillId="0" borderId="9" xfId="0" applyBorder="1" applyAlignment="1">
      <alignment vertical="top"/>
    </xf>
    <xf numFmtId="0" fontId="12" fillId="0" borderId="9" xfId="0" applyFont="1" applyBorder="1" applyAlignment="1">
      <alignment vertical="top"/>
    </xf>
    <xf numFmtId="2" fontId="0" fillId="0" borderId="9" xfId="0" applyNumberFormat="1" applyBorder="1" applyAlignment="1">
      <alignment vertical="top"/>
    </xf>
    <xf numFmtId="41" fontId="0" fillId="0" borderId="9" xfId="0" applyNumberFormat="1" applyBorder="1" applyAlignment="1">
      <alignment vertical="top"/>
    </xf>
    <xf numFmtId="0" fontId="5" fillId="0" borderId="9" xfId="0" applyFont="1" applyBorder="1" applyAlignment="1">
      <alignment vertical="top" wrapText="1"/>
    </xf>
    <xf numFmtId="41" fontId="0" fillId="0" borderId="9" xfId="1" applyNumberFormat="1" applyFont="1" applyBorder="1" applyAlignment="1">
      <alignment vertical="top"/>
    </xf>
    <xf numFmtId="0" fontId="9" fillId="0" borderId="9" xfId="0" quotePrefix="1" applyFont="1" applyBorder="1" applyAlignment="1">
      <alignment vertical="top" wrapText="1"/>
    </xf>
    <xf numFmtId="0" fontId="5" fillId="0" borderId="9" xfId="0" quotePrefix="1" applyFont="1" applyBorder="1" applyAlignment="1">
      <alignment vertical="top" wrapText="1"/>
    </xf>
    <xf numFmtId="37" fontId="12" fillId="0" borderId="9" xfId="0" applyNumberFormat="1" applyFont="1" applyBorder="1" applyAlignment="1">
      <alignment vertical="top"/>
    </xf>
    <xf numFmtId="41" fontId="12" fillId="0" borderId="11" xfId="2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vertical="center"/>
    </xf>
    <xf numFmtId="37" fontId="11" fillId="2" borderId="3" xfId="0" applyNumberFormat="1" applyFont="1" applyFill="1" applyBorder="1" applyAlignment="1">
      <alignment horizontal="right" vertical="center"/>
    </xf>
    <xf numFmtId="43" fontId="11" fillId="2" borderId="3" xfId="0" applyNumberFormat="1" applyFont="1" applyFill="1" applyBorder="1" applyAlignment="1">
      <alignment horizontal="right" vertical="center"/>
    </xf>
    <xf numFmtId="41" fontId="11" fillId="2" borderId="3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/>
    </xf>
    <xf numFmtId="37" fontId="12" fillId="0" borderId="11" xfId="0" applyNumberFormat="1" applyFont="1" applyBorder="1" applyAlignment="1">
      <alignment vertical="top"/>
    </xf>
    <xf numFmtId="37" fontId="11" fillId="2" borderId="3" xfId="0" applyNumberFormat="1" applyFont="1" applyFill="1" applyBorder="1" applyAlignment="1">
      <alignment vertical="center"/>
    </xf>
    <xf numFmtId="37" fontId="11" fillId="2" borderId="5" xfId="0" applyNumberFormat="1" applyFont="1" applyFill="1" applyBorder="1" applyAlignment="1">
      <alignment vertical="center"/>
    </xf>
    <xf numFmtId="0" fontId="0" fillId="2" borderId="3" xfId="0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6" fillId="0" borderId="9" xfId="0" applyFont="1" applyBorder="1" applyAlignment="1">
      <alignment horizontal="left" vertical="top" wrapText="1" indent="1"/>
    </xf>
    <xf numFmtId="37" fontId="12" fillId="0" borderId="12" xfId="0" applyNumberFormat="1" applyFont="1" applyBorder="1" applyAlignment="1">
      <alignment vertical="top"/>
    </xf>
    <xf numFmtId="37" fontId="12" fillId="0" borderId="0" xfId="0" applyNumberFormat="1" applyFont="1" applyAlignment="1">
      <alignment vertical="top"/>
    </xf>
    <xf numFmtId="2" fontId="11" fillId="2" borderId="3" xfId="0" applyNumberFormat="1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center" vertical="top"/>
    </xf>
    <xf numFmtId="2" fontId="0" fillId="0" borderId="12" xfId="0" applyNumberFormat="1" applyBorder="1" applyAlignment="1">
      <alignment vertical="top"/>
    </xf>
    <xf numFmtId="0" fontId="0" fillId="0" borderId="6" xfId="0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2" fillId="0" borderId="9" xfId="0" applyFont="1" applyBorder="1" applyAlignment="1">
      <alignment vertical="top" wrapText="1"/>
    </xf>
    <xf numFmtId="0" fontId="0" fillId="0" borderId="9" xfId="0" quotePrefix="1" applyBorder="1" applyAlignment="1">
      <alignment vertical="top"/>
    </xf>
    <xf numFmtId="0" fontId="0" fillId="0" borderId="6" xfId="0" applyBorder="1" applyAlignment="1">
      <alignment vertical="top"/>
    </xf>
    <xf numFmtId="0" fontId="3" fillId="0" borderId="0" xfId="0" applyFont="1" applyAlignment="1">
      <alignment horizontal="center"/>
    </xf>
    <xf numFmtId="2" fontId="0" fillId="0" borderId="9" xfId="1" applyNumberFormat="1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2" fontId="0" fillId="0" borderId="12" xfId="1" applyNumberFormat="1" applyFont="1" applyBorder="1" applyAlignment="1">
      <alignment vertical="top"/>
    </xf>
    <xf numFmtId="2" fontId="0" fillId="0" borderId="11" xfId="1" applyNumberFormat="1" applyFont="1" applyBorder="1" applyAlignment="1">
      <alignment vertical="top"/>
    </xf>
    <xf numFmtId="0" fontId="12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1" fillId="0" borderId="15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8" fillId="0" borderId="15" xfId="0" applyFont="1" applyBorder="1" applyAlignment="1">
      <alignment horizontal="left" vertical="top" wrapText="1" indent="1"/>
    </xf>
    <xf numFmtId="37" fontId="12" fillId="0" borderId="15" xfId="0" applyNumberFormat="1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41" fontId="11" fillId="2" borderId="3" xfId="1" applyNumberFormat="1" applyFont="1" applyFill="1" applyBorder="1" applyAlignment="1">
      <alignment vertical="center"/>
    </xf>
    <xf numFmtId="41" fontId="11" fillId="2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9" xfId="0" applyFont="1" applyBorder="1" applyAlignment="1">
      <alignment horizontal="left" vertical="top" wrapText="1" indent="1"/>
    </xf>
    <xf numFmtId="0" fontId="11" fillId="0" borderId="0" xfId="0" applyFont="1" applyAlignment="1">
      <alignment vertical="center"/>
    </xf>
    <xf numFmtId="0" fontId="13" fillId="0" borderId="0" xfId="0" applyFont="1" applyAlignment="1"/>
    <xf numFmtId="41" fontId="0" fillId="0" borderId="12" xfId="1" applyNumberFormat="1" applyFont="1" applyBorder="1" applyAlignment="1">
      <alignment vertical="top"/>
    </xf>
    <xf numFmtId="0" fontId="14" fillId="0" borderId="9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39" fontId="11" fillId="2" borderId="5" xfId="0" applyNumberFormat="1" applyFont="1" applyFill="1" applyBorder="1" applyAlignment="1">
      <alignment vertical="center"/>
    </xf>
    <xf numFmtId="37" fontId="0" fillId="0" borderId="9" xfId="1" applyNumberFormat="1" applyFont="1" applyBorder="1" applyAlignment="1">
      <alignment vertical="top"/>
    </xf>
    <xf numFmtId="0" fontId="6" fillId="0" borderId="12" xfId="0" applyFont="1" applyBorder="1" applyAlignment="1">
      <alignment horizontal="left" vertical="top" wrapText="1" indent="1"/>
    </xf>
    <xf numFmtId="41" fontId="12" fillId="0" borderId="12" xfId="2" applyFont="1" applyBorder="1" applyAlignment="1">
      <alignment vertical="top" wrapText="1"/>
    </xf>
    <xf numFmtId="0" fontId="0" fillId="0" borderId="12" xfId="0" quotePrefix="1" applyBorder="1" applyAlignment="1">
      <alignment vertical="top"/>
    </xf>
    <xf numFmtId="0" fontId="14" fillId="0" borderId="9" xfId="0" applyFont="1" applyBorder="1" applyAlignment="1">
      <alignment horizontal="left" vertical="top" wrapText="1"/>
    </xf>
    <xf numFmtId="39" fontId="11" fillId="2" borderId="3" xfId="0" applyNumberFormat="1" applyFont="1" applyFill="1" applyBorder="1" applyAlignment="1">
      <alignment vertical="center"/>
    </xf>
    <xf numFmtId="43" fontId="0" fillId="0" borderId="9" xfId="1" applyFont="1" applyBorder="1" applyAlignment="1">
      <alignment vertical="top"/>
    </xf>
    <xf numFmtId="43" fontId="11" fillId="2" borderId="3" xfId="0" applyNumberFormat="1" applyFont="1" applyFill="1" applyBorder="1" applyAlignment="1">
      <alignment vertical="center"/>
    </xf>
    <xf numFmtId="37" fontId="12" fillId="0" borderId="6" xfId="0" applyNumberFormat="1" applyFont="1" applyBorder="1" applyAlignment="1">
      <alignment vertical="top"/>
    </xf>
    <xf numFmtId="0" fontId="7" fillId="0" borderId="9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37" fontId="7" fillId="0" borderId="9" xfId="0" applyNumberFormat="1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11" fillId="3" borderId="3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top"/>
    </xf>
    <xf numFmtId="0" fontId="0" fillId="3" borderId="3" xfId="0" applyFill="1" applyBorder="1" applyAlignment="1">
      <alignment vertical="top"/>
    </xf>
    <xf numFmtId="0" fontId="14" fillId="0" borderId="12" xfId="0" applyFont="1" applyBorder="1" applyAlignment="1">
      <alignment vertical="top" wrapText="1"/>
    </xf>
    <xf numFmtId="39" fontId="11" fillId="3" borderId="3" xfId="0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 indent="1"/>
    </xf>
    <xf numFmtId="0" fontId="0" fillId="0" borderId="18" xfId="0" applyBorder="1" applyAlignment="1">
      <alignment horizontal="center" vertical="top"/>
    </xf>
    <xf numFmtId="43" fontId="0" fillId="0" borderId="9" xfId="0" applyNumberFormat="1" applyBorder="1" applyAlignment="1">
      <alignment vertical="top"/>
    </xf>
    <xf numFmtId="164" fontId="0" fillId="0" borderId="9" xfId="1" applyNumberFormat="1" applyFont="1" applyBorder="1" applyAlignment="1">
      <alignment vertical="top"/>
    </xf>
    <xf numFmtId="41" fontId="0" fillId="0" borderId="12" xfId="0" applyNumberFormat="1" applyBorder="1" applyAlignment="1">
      <alignment vertical="top"/>
    </xf>
    <xf numFmtId="43" fontId="0" fillId="0" borderId="12" xfId="0" applyNumberFormat="1" applyBorder="1" applyAlignment="1">
      <alignment vertical="top"/>
    </xf>
    <xf numFmtId="164" fontId="0" fillId="0" borderId="12" xfId="1" applyNumberFormat="1" applyFont="1" applyBorder="1" applyAlignment="1">
      <alignment vertical="top"/>
    </xf>
    <xf numFmtId="41" fontId="11" fillId="3" borderId="3" xfId="0" applyNumberFormat="1" applyFont="1" applyFill="1" applyBorder="1" applyAlignment="1">
      <alignment vertical="center"/>
    </xf>
    <xf numFmtId="43" fontId="11" fillId="3" borderId="3" xfId="0" applyNumberFormat="1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11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/>
    </xf>
    <xf numFmtId="0" fontId="12" fillId="0" borderId="12" xfId="0" applyFont="1" applyBorder="1" applyAlignment="1">
      <alignment horizontal="center" vertical="top" wrapText="1"/>
    </xf>
    <xf numFmtId="37" fontId="12" fillId="0" borderId="7" xfId="0" applyNumberFormat="1" applyFont="1" applyBorder="1" applyAlignment="1">
      <alignment vertical="top"/>
    </xf>
    <xf numFmtId="2" fontId="0" fillId="0" borderId="6" xfId="1" applyNumberFormat="1" applyFont="1" applyBorder="1" applyAlignment="1">
      <alignment vertical="top"/>
    </xf>
    <xf numFmtId="41" fontId="0" fillId="0" borderId="6" xfId="1" applyNumberFormat="1" applyFont="1" applyBorder="1" applyAlignment="1">
      <alignment vertical="top"/>
    </xf>
    <xf numFmtId="0" fontId="0" fillId="0" borderId="6" xfId="0" applyFill="1" applyBorder="1" applyAlignment="1">
      <alignment horizontal="center" vertical="top"/>
    </xf>
    <xf numFmtId="39" fontId="0" fillId="0" borderId="9" xfId="0" applyNumberFormat="1" applyBorder="1" applyAlignment="1">
      <alignment vertical="top"/>
    </xf>
    <xf numFmtId="39" fontId="0" fillId="0" borderId="12" xfId="0" applyNumberFormat="1" applyBorder="1" applyAlignment="1">
      <alignment vertical="top"/>
    </xf>
    <xf numFmtId="0" fontId="14" fillId="0" borderId="12" xfId="0" applyFont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left" vertical="top" indent="1"/>
    </xf>
    <xf numFmtId="0" fontId="14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37" fontId="11" fillId="0" borderId="6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top"/>
    </xf>
    <xf numFmtId="0" fontId="14" fillId="0" borderId="9" xfId="0" quotePrefix="1" applyFont="1" applyBorder="1" applyAlignment="1">
      <alignment vertical="top" wrapText="1"/>
    </xf>
    <xf numFmtId="0" fontId="0" fillId="0" borderId="9" xfId="0" applyFill="1" applyBorder="1" applyAlignment="1">
      <alignment vertical="top"/>
    </xf>
    <xf numFmtId="0" fontId="5" fillId="0" borderId="15" xfId="0" applyFont="1" applyBorder="1" applyAlignment="1">
      <alignment vertical="top" wrapText="1"/>
    </xf>
    <xf numFmtId="41" fontId="12" fillId="0" borderId="15" xfId="2" applyFont="1" applyBorder="1" applyAlignment="1">
      <alignment vertical="top" wrapText="1"/>
    </xf>
    <xf numFmtId="37" fontId="11" fillId="0" borderId="15" xfId="0" applyNumberFormat="1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10" fillId="0" borderId="0" xfId="0" applyFont="1" applyAlignment="1">
      <alignment horizontal="left" vertical="top"/>
    </xf>
    <xf numFmtId="37" fontId="15" fillId="0" borderId="9" xfId="0" applyNumberFormat="1" applyFont="1" applyBorder="1" applyAlignment="1">
      <alignment vertical="top" wrapText="1"/>
    </xf>
    <xf numFmtId="2" fontId="0" fillId="0" borderId="9" xfId="0" applyNumberFormat="1" applyFill="1" applyBorder="1" applyAlignment="1">
      <alignment vertical="top"/>
    </xf>
    <xf numFmtId="0" fontId="2" fillId="0" borderId="15" xfId="0" applyFont="1" applyBorder="1" applyAlignment="1">
      <alignment vertical="top"/>
    </xf>
    <xf numFmtId="37" fontId="15" fillId="0" borderId="15" xfId="0" applyNumberFormat="1" applyFont="1" applyBorder="1" applyAlignment="1">
      <alignment vertical="top" wrapText="1"/>
    </xf>
    <xf numFmtId="2" fontId="0" fillId="0" borderId="15" xfId="0" applyNumberFormat="1" applyBorder="1" applyAlignment="1">
      <alignment vertical="top"/>
    </xf>
    <xf numFmtId="41" fontId="0" fillId="0" borderId="15" xfId="1" applyNumberFormat="1" applyFont="1" applyBorder="1" applyAlignment="1">
      <alignment vertical="top"/>
    </xf>
    <xf numFmtId="43" fontId="0" fillId="0" borderId="15" xfId="0" applyNumberFormat="1" applyBorder="1" applyAlignment="1">
      <alignment vertical="top"/>
    </xf>
    <xf numFmtId="41" fontId="0" fillId="0" borderId="15" xfId="0" applyNumberFormat="1" applyBorder="1" applyAlignment="1">
      <alignment vertical="top"/>
    </xf>
    <xf numFmtId="0" fontId="12" fillId="0" borderId="15" xfId="0" applyFont="1" applyBorder="1" applyAlignment="1">
      <alignment vertical="top"/>
    </xf>
    <xf numFmtId="37" fontId="11" fillId="2" borderId="3" xfId="0" applyNumberFormat="1" applyFont="1" applyFill="1" applyBorder="1" applyAlignment="1">
      <alignment vertical="top"/>
    </xf>
    <xf numFmtId="37" fontId="15" fillId="2" borderId="3" xfId="0" applyNumberFormat="1" applyFont="1" applyFill="1" applyBorder="1" applyAlignment="1">
      <alignment vertical="top" wrapText="1"/>
    </xf>
    <xf numFmtId="43" fontId="0" fillId="2" borderId="3" xfId="1" applyNumberFormat="1" applyFont="1" applyFill="1" applyBorder="1" applyAlignment="1">
      <alignment vertical="top"/>
    </xf>
    <xf numFmtId="41" fontId="0" fillId="2" borderId="3" xfId="1" applyNumberFormat="1" applyFont="1" applyFill="1" applyBorder="1" applyAlignment="1">
      <alignment vertical="top"/>
    </xf>
    <xf numFmtId="0" fontId="7" fillId="0" borderId="9" xfId="0" quotePrefix="1" applyFont="1" applyBorder="1" applyAlignment="1">
      <alignment vertical="top" wrapText="1"/>
    </xf>
    <xf numFmtId="41" fontId="11" fillId="0" borderId="9" xfId="2" applyFont="1" applyBorder="1" applyAlignment="1">
      <alignment vertical="top" wrapText="1"/>
    </xf>
    <xf numFmtId="2" fontId="2" fillId="0" borderId="9" xfId="1" applyNumberFormat="1" applyFont="1" applyBorder="1" applyAlignment="1">
      <alignment vertical="top"/>
    </xf>
    <xf numFmtId="37" fontId="2" fillId="0" borderId="16" xfId="0" applyNumberFormat="1" applyFont="1" applyBorder="1" applyAlignment="1">
      <alignment vertical="top"/>
    </xf>
    <xf numFmtId="2" fontId="2" fillId="0" borderId="9" xfId="0" applyNumberFormat="1" applyFont="1" applyBorder="1" applyAlignment="1">
      <alignment vertical="top"/>
    </xf>
    <xf numFmtId="37" fontId="16" fillId="0" borderId="9" xfId="0" applyNumberFormat="1" applyFont="1" applyBorder="1" applyAlignment="1">
      <alignment vertical="top" wrapText="1"/>
    </xf>
    <xf numFmtId="0" fontId="0" fillId="0" borderId="9" xfId="0" applyNumberFormat="1" applyBorder="1" applyAlignment="1">
      <alignment vertical="top"/>
    </xf>
    <xf numFmtId="37" fontId="12" fillId="0" borderId="0" xfId="0" applyNumberFormat="1" applyFont="1" applyBorder="1" applyAlignment="1">
      <alignment vertical="top"/>
    </xf>
    <xf numFmtId="0" fontId="11" fillId="0" borderId="9" xfId="0" applyFont="1" applyBorder="1" applyAlignment="1">
      <alignment vertical="top"/>
    </xf>
    <xf numFmtId="37" fontId="2" fillId="0" borderId="9" xfId="1" applyNumberFormat="1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37" fontId="0" fillId="0" borderId="12" xfId="1" applyNumberFormat="1" applyFont="1" applyBorder="1" applyAlignment="1">
      <alignment vertical="top"/>
    </xf>
    <xf numFmtId="0" fontId="10" fillId="0" borderId="7" xfId="0" applyFont="1" applyBorder="1" applyAlignment="1">
      <alignment horizontal="left" vertical="top"/>
    </xf>
    <xf numFmtId="37" fontId="0" fillId="0" borderId="11" xfId="1" applyNumberFormat="1" applyFont="1" applyBorder="1" applyAlignment="1">
      <alignment vertical="top"/>
    </xf>
    <xf numFmtId="0" fontId="11" fillId="0" borderId="9" xfId="0" applyFont="1" applyBorder="1" applyAlignment="1">
      <alignment horizontal="center" vertical="center"/>
    </xf>
    <xf numFmtId="14" fontId="0" fillId="0" borderId="9" xfId="0" applyNumberFormat="1" applyBorder="1" applyAlignment="1">
      <alignment vertical="top"/>
    </xf>
    <xf numFmtId="37" fontId="0" fillId="0" borderId="15" xfId="0" applyNumberFormat="1" applyBorder="1" applyAlignment="1">
      <alignment vertical="top"/>
    </xf>
    <xf numFmtId="0" fontId="15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41" fontId="0" fillId="0" borderId="9" xfId="1" applyNumberFormat="1" applyFont="1" applyFill="1" applyBorder="1" applyAlignment="1">
      <alignment vertical="top"/>
    </xf>
    <xf numFmtId="0" fontId="21" fillId="0" borderId="9" xfId="0" applyFont="1" applyBorder="1" applyAlignment="1">
      <alignment vertical="top"/>
    </xf>
    <xf numFmtId="0" fontId="14" fillId="0" borderId="9" xfId="0" quotePrefix="1" applyFont="1" applyBorder="1" applyAlignment="1">
      <alignment horizontal="left" vertical="top" wrapText="1"/>
    </xf>
    <xf numFmtId="41" fontId="0" fillId="0" borderId="0" xfId="1" applyNumberFormat="1" applyFont="1" applyAlignment="1">
      <alignment vertical="top"/>
    </xf>
    <xf numFmtId="0" fontId="18" fillId="0" borderId="9" xfId="0" applyFont="1" applyBorder="1" applyAlignment="1">
      <alignment horizontal="center" vertical="top"/>
    </xf>
    <xf numFmtId="41" fontId="18" fillId="0" borderId="9" xfId="3" applyNumberFormat="1" applyFont="1" applyFill="1" applyBorder="1" applyAlignment="1">
      <alignment horizontal="right" vertical="top" wrapText="1"/>
    </xf>
    <xf numFmtId="0" fontId="0" fillId="0" borderId="9" xfId="0" applyBorder="1" applyAlignment="1">
      <alignment horizontal="center" vertical="top" wrapText="1"/>
    </xf>
    <xf numFmtId="0" fontId="10" fillId="0" borderId="12" xfId="0" applyFont="1" applyBorder="1" applyAlignment="1">
      <alignment vertical="top"/>
    </xf>
    <xf numFmtId="0" fontId="10" fillId="0" borderId="6" xfId="0" applyFont="1" applyBorder="1" applyAlignment="1">
      <alignment horizontal="left" vertical="top"/>
    </xf>
    <xf numFmtId="0" fontId="22" fillId="0" borderId="12" xfId="0" applyFont="1" applyBorder="1" applyAlignment="1">
      <alignment vertical="top"/>
    </xf>
    <xf numFmtId="0" fontId="10" fillId="0" borderId="12" xfId="0" quotePrefix="1" applyFont="1" applyBorder="1" applyAlignment="1">
      <alignment vertical="top"/>
    </xf>
    <xf numFmtId="0" fontId="10" fillId="0" borderId="9" xfId="0" quotePrefix="1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37" fontId="15" fillId="0" borderId="15" xfId="0" applyNumberFormat="1" applyFont="1" applyBorder="1" applyAlignment="1">
      <alignment vertical="top"/>
    </xf>
    <xf numFmtId="0" fontId="10" fillId="0" borderId="9" xfId="0" quotePrefix="1" applyFont="1" applyBorder="1" applyAlignment="1">
      <alignment vertical="top"/>
    </xf>
    <xf numFmtId="0" fontId="2" fillId="2" borderId="7" xfId="0" applyFont="1" applyFill="1" applyBorder="1" applyAlignment="1">
      <alignment horizontal="center" vertical="top"/>
    </xf>
    <xf numFmtId="41" fontId="0" fillId="0" borderId="9" xfId="0" applyNumberFormat="1" applyBorder="1" applyAlignment="1">
      <alignment horizontal="right" vertical="top"/>
    </xf>
    <xf numFmtId="41" fontId="0" fillId="0" borderId="9" xfId="0" applyNumberFormat="1" applyBorder="1" applyAlignment="1">
      <alignment horizontal="left" vertical="top"/>
    </xf>
    <xf numFmtId="41" fontId="0" fillId="0" borderId="9" xfId="0" applyNumberFormat="1" applyBorder="1" applyAlignment="1">
      <alignment horizontal="left" vertical="center"/>
    </xf>
    <xf numFmtId="0" fontId="23" fillId="0" borderId="9" xfId="0" applyFont="1" applyBorder="1" applyAlignment="1">
      <alignment vertical="top" wrapText="1"/>
    </xf>
    <xf numFmtId="0" fontId="24" fillId="0" borderId="16" xfId="0" applyFont="1" applyBorder="1" applyAlignment="1">
      <alignment vertical="top"/>
    </xf>
    <xf numFmtId="37" fontId="25" fillId="0" borderId="9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0" fillId="0" borderId="23" xfId="0" applyBorder="1" applyAlignment="1">
      <alignment vertical="top"/>
    </xf>
    <xf numFmtId="41" fontId="0" fillId="0" borderId="12" xfId="0" applyNumberFormat="1" applyBorder="1" applyAlignment="1">
      <alignment horizontal="left" vertical="center"/>
    </xf>
    <xf numFmtId="43" fontId="11" fillId="2" borderId="3" xfId="0" applyNumberFormat="1" applyFont="1" applyFill="1" applyBorder="1" applyAlignment="1">
      <alignment horizontal="center" vertical="center"/>
    </xf>
    <xf numFmtId="41" fontId="11" fillId="2" borderId="3" xfId="0" applyNumberFormat="1" applyFont="1" applyFill="1" applyBorder="1" applyAlignment="1">
      <alignment horizontal="center" vertical="center"/>
    </xf>
    <xf numFmtId="39" fontId="11" fillId="0" borderId="9" xfId="0" applyNumberFormat="1" applyFont="1" applyBorder="1" applyAlignment="1">
      <alignment vertical="top"/>
    </xf>
    <xf numFmtId="0" fontId="0" fillId="0" borderId="16" xfId="0" applyFont="1" applyBorder="1" applyAlignment="1">
      <alignment vertical="top"/>
    </xf>
    <xf numFmtId="41" fontId="2" fillId="0" borderId="9" xfId="1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41" fontId="25" fillId="0" borderId="9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vertical="top"/>
    </xf>
    <xf numFmtId="41" fontId="26" fillId="0" borderId="9" xfId="2" applyFont="1" applyBorder="1" applyAlignment="1">
      <alignment vertical="top" wrapText="1"/>
    </xf>
    <xf numFmtId="0" fontId="26" fillId="0" borderId="9" xfId="0" applyFont="1" applyBorder="1" applyAlignment="1">
      <alignment vertical="top" wrapText="1"/>
    </xf>
    <xf numFmtId="0" fontId="26" fillId="0" borderId="9" xfId="0" quotePrefix="1" applyFont="1" applyBorder="1" applyAlignment="1">
      <alignment horizontal="center" vertical="top" wrapText="1"/>
    </xf>
    <xf numFmtId="15" fontId="26" fillId="0" borderId="9" xfId="0" quotePrefix="1" applyNumberFormat="1" applyFont="1" applyBorder="1" applyAlignment="1">
      <alignment horizontal="center" vertical="top" wrapText="1"/>
    </xf>
    <xf numFmtId="41" fontId="26" fillId="0" borderId="9" xfId="2" applyFont="1" applyBorder="1" applyAlignment="1">
      <alignment vertical="top"/>
    </xf>
    <xf numFmtId="0" fontId="26" fillId="0" borderId="9" xfId="0" applyFont="1" applyBorder="1" applyAlignment="1">
      <alignment vertical="top"/>
    </xf>
    <xf numFmtId="0" fontId="26" fillId="0" borderId="9" xfId="0" quotePrefix="1" applyFont="1" applyBorder="1" applyAlignment="1">
      <alignment horizontal="center" vertical="top"/>
    </xf>
    <xf numFmtId="15" fontId="26" fillId="0" borderId="9" xfId="0" quotePrefix="1" applyNumberFormat="1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12" fillId="0" borderId="6" xfId="0" applyFont="1" applyBorder="1" applyAlignment="1">
      <alignment horizontal="center" vertical="top" wrapText="1"/>
    </xf>
    <xf numFmtId="164" fontId="0" fillId="0" borderId="6" xfId="1" applyNumberFormat="1" applyFont="1" applyBorder="1" applyAlignment="1">
      <alignment vertical="top"/>
    </xf>
    <xf numFmtId="43" fontId="0" fillId="0" borderId="6" xfId="0" applyNumberFormat="1" applyBorder="1" applyAlignment="1">
      <alignment vertical="top"/>
    </xf>
    <xf numFmtId="164" fontId="11" fillId="2" borderId="3" xfId="1" applyNumberFormat="1" applyFont="1" applyFill="1" applyBorder="1" applyAlignment="1">
      <alignment vertical="center"/>
    </xf>
    <xf numFmtId="37" fontId="4" fillId="0" borderId="9" xfId="0" applyNumberFormat="1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2" fontId="0" fillId="0" borderId="6" xfId="0" applyNumberFormat="1" applyBorder="1" applyAlignment="1">
      <alignment vertical="top"/>
    </xf>
    <xf numFmtId="37" fontId="4" fillId="0" borderId="15" xfId="0" applyNumberFormat="1" applyFont="1" applyBorder="1" applyAlignment="1">
      <alignment vertical="top"/>
    </xf>
    <xf numFmtId="37" fontId="28" fillId="0" borderId="15" xfId="0" applyNumberFormat="1" applyFont="1" applyBorder="1" applyAlignment="1">
      <alignment vertical="top"/>
    </xf>
    <xf numFmtId="41" fontId="0" fillId="0" borderId="9" xfId="0" applyNumberFormat="1" applyBorder="1" applyAlignment="1">
      <alignment horizontal="right" vertical="top" wrapText="1"/>
    </xf>
    <xf numFmtId="41" fontId="0" fillId="0" borderId="9" xfId="0" applyNumberFormat="1" applyBorder="1" applyAlignment="1">
      <alignment vertical="top" wrapText="1"/>
    </xf>
    <xf numFmtId="41" fontId="0" fillId="0" borderId="9" xfId="1" applyNumberFormat="1" applyFont="1" applyBorder="1" applyAlignment="1">
      <alignment vertical="top" wrapText="1"/>
    </xf>
    <xf numFmtId="0" fontId="29" fillId="0" borderId="16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20" fillId="0" borderId="16" xfId="0" applyFont="1" applyBorder="1" applyAlignment="1">
      <alignment vertical="top"/>
    </xf>
    <xf numFmtId="0" fontId="29" fillId="0" borderId="23" xfId="0" applyFont="1" applyBorder="1" applyAlignment="1">
      <alignment vertical="top"/>
    </xf>
    <xf numFmtId="37" fontId="14" fillId="0" borderId="12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top"/>
    </xf>
    <xf numFmtId="164" fontId="28" fillId="2" borderId="3" xfId="1" applyNumberFormat="1" applyFont="1" applyFill="1" applyBorder="1" applyAlignment="1">
      <alignment vertical="center"/>
    </xf>
    <xf numFmtId="0" fontId="29" fillId="0" borderId="15" xfId="0" applyFont="1" applyBorder="1" applyAlignment="1">
      <alignment vertical="top"/>
    </xf>
    <xf numFmtId="0" fontId="7" fillId="0" borderId="15" xfId="0" applyFont="1" applyBorder="1" applyAlignment="1">
      <alignment horizontal="left" vertical="top" wrapText="1" indent="1"/>
    </xf>
    <xf numFmtId="37" fontId="30" fillId="0" borderId="15" xfId="0" applyNumberFormat="1" applyFont="1" applyBorder="1" applyAlignment="1">
      <alignment vertical="top"/>
    </xf>
    <xf numFmtId="2" fontId="2" fillId="0" borderId="9" xfId="0" applyNumberFormat="1" applyFont="1" applyBorder="1" applyAlignment="1">
      <alignment horizontal="center" vertical="top"/>
    </xf>
    <xf numFmtId="41" fontId="2" fillId="0" borderId="9" xfId="1" applyNumberFormat="1" applyFont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41" fontId="0" fillId="0" borderId="9" xfId="1" applyNumberFormat="1" applyFont="1" applyBorder="1" applyAlignment="1">
      <alignment horizontal="center" vertical="top"/>
    </xf>
    <xf numFmtId="41" fontId="2" fillId="0" borderId="9" xfId="0" applyNumberFormat="1" applyFont="1" applyBorder="1" applyAlignment="1">
      <alignment horizontal="center" vertical="top"/>
    </xf>
    <xf numFmtId="37" fontId="2" fillId="0" borderId="9" xfId="1" applyNumberFormat="1" applyFont="1" applyBorder="1" applyAlignment="1">
      <alignment horizontal="center" vertical="top"/>
    </xf>
    <xf numFmtId="1" fontId="2" fillId="0" borderId="9" xfId="1" applyNumberFormat="1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0" fontId="19" fillId="0" borderId="9" xfId="0" applyFont="1" applyBorder="1" applyAlignment="1">
      <alignment horizontal="left" vertical="top"/>
    </xf>
    <xf numFmtId="164" fontId="27" fillId="2" borderId="3" xfId="1" applyNumberFormat="1" applyFont="1" applyFill="1" applyBorder="1" applyAlignment="1">
      <alignment vertical="center"/>
    </xf>
    <xf numFmtId="37" fontId="31" fillId="0" borderId="15" xfId="0" applyNumberFormat="1" applyFont="1" applyBorder="1" applyAlignment="1">
      <alignment vertical="top"/>
    </xf>
    <xf numFmtId="0" fontId="12" fillId="0" borderId="12" xfId="0" applyFont="1" applyBorder="1" applyAlignment="1">
      <alignment horizontal="center" vertical="center"/>
    </xf>
    <xf numFmtId="41" fontId="0" fillId="0" borderId="6" xfId="0" applyNumberForma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10" fillId="0" borderId="15" xfId="0" applyFont="1" applyBorder="1" applyAlignment="1">
      <alignment horizontal="left" vertical="top"/>
    </xf>
    <xf numFmtId="41" fontId="2" fillId="0" borderId="9" xfId="0" applyNumberFormat="1" applyFont="1" applyBorder="1" applyAlignment="1">
      <alignment vertical="top"/>
    </xf>
    <xf numFmtId="164" fontId="11" fillId="2" borderId="3" xfId="0" applyNumberFormat="1" applyFont="1" applyFill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quotePrefix="1" applyBorder="1" applyAlignment="1">
      <alignment vertical="top"/>
    </xf>
    <xf numFmtId="37" fontId="32" fillId="0" borderId="9" xfId="0" applyNumberFormat="1" applyFont="1" applyBorder="1" applyAlignment="1">
      <alignment vertical="top" wrapText="1"/>
    </xf>
    <xf numFmtId="39" fontId="11" fillId="2" borderId="3" xfId="0" applyNumberFormat="1" applyFont="1" applyFill="1" applyBorder="1" applyAlignment="1">
      <alignment horizontal="left" vertical="center"/>
    </xf>
    <xf numFmtId="0" fontId="11" fillId="0" borderId="23" xfId="0" applyFont="1" applyBorder="1" applyAlignment="1">
      <alignment vertical="center"/>
    </xf>
    <xf numFmtId="4" fontId="0" fillId="0" borderId="9" xfId="0" applyNumberFormat="1" applyBorder="1" applyAlignment="1">
      <alignment vertical="top"/>
    </xf>
    <xf numFmtId="41" fontId="0" fillId="0" borderId="9" xfId="0" applyNumberFormat="1" applyBorder="1" applyAlignment="1">
      <alignment horizontal="center" vertical="top"/>
    </xf>
    <xf numFmtId="41" fontId="0" fillId="0" borderId="12" xfId="0" applyNumberFormat="1" applyBorder="1" applyAlignment="1">
      <alignment horizontal="center" vertical="top"/>
    </xf>
    <xf numFmtId="0" fontId="11" fillId="0" borderId="16" xfId="0" applyFont="1" applyBorder="1" applyAlignment="1">
      <alignment vertical="center"/>
    </xf>
    <xf numFmtId="0" fontId="2" fillId="0" borderId="21" xfId="0" applyFont="1" applyBorder="1" applyAlignment="1">
      <alignment vertical="top"/>
    </xf>
    <xf numFmtId="37" fontId="7" fillId="0" borderId="15" xfId="0" applyNumberFormat="1" applyFont="1" applyBorder="1" applyAlignment="1">
      <alignment vertical="top" wrapText="1"/>
    </xf>
    <xf numFmtId="0" fontId="10" fillId="0" borderId="15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41" fontId="1" fillId="0" borderId="9" xfId="1" applyNumberFormat="1" applyFont="1" applyBorder="1" applyAlignment="1">
      <alignment vertical="top"/>
    </xf>
    <xf numFmtId="41" fontId="1" fillId="0" borderId="9" xfId="1" quotePrefix="1" applyNumberFormat="1" applyFont="1" applyBorder="1" applyAlignment="1">
      <alignment horizontal="center" vertical="top"/>
    </xf>
    <xf numFmtId="0" fontId="14" fillId="0" borderId="6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quotePrefix="1" applyFont="1" applyBorder="1" applyAlignment="1">
      <alignment vertical="top"/>
    </xf>
    <xf numFmtId="37" fontId="14" fillId="0" borderId="9" xfId="0" applyNumberFormat="1" applyFont="1" applyBorder="1" applyAlignment="1">
      <alignment vertical="top" wrapText="1"/>
    </xf>
    <xf numFmtId="0" fontId="11" fillId="0" borderId="0" xfId="0" applyFont="1" applyAlignment="1">
      <alignment vertical="top"/>
    </xf>
    <xf numFmtId="1" fontId="0" fillId="0" borderId="9" xfId="0" applyNumberFormat="1" applyBorder="1" applyAlignment="1">
      <alignment horizontal="center" vertical="top"/>
    </xf>
    <xf numFmtId="0" fontId="14" fillId="0" borderId="12" xfId="0" quotePrefix="1" applyFont="1" applyBorder="1" applyAlignment="1">
      <alignment horizontal="left" vertical="top" wrapText="1"/>
    </xf>
    <xf numFmtId="1" fontId="0" fillId="0" borderId="12" xfId="0" applyNumberFormat="1" applyBorder="1" applyAlignment="1">
      <alignment horizontal="center" vertical="top"/>
    </xf>
    <xf numFmtId="0" fontId="10" fillId="0" borderId="12" xfId="0" applyFont="1" applyBorder="1" applyAlignment="1">
      <alignment horizontal="left" vertical="top"/>
    </xf>
    <xf numFmtId="0" fontId="10" fillId="0" borderId="24" xfId="0" applyFont="1" applyBorder="1" applyAlignment="1">
      <alignment vertical="top"/>
    </xf>
    <xf numFmtId="37" fontId="0" fillId="0" borderId="24" xfId="1" applyNumberFormat="1" applyFont="1" applyBorder="1" applyAlignment="1">
      <alignment vertical="top"/>
    </xf>
    <xf numFmtId="1" fontId="0" fillId="0" borderId="24" xfId="0" applyNumberFormat="1" applyBorder="1" applyAlignment="1">
      <alignment horizontal="center" vertical="top"/>
    </xf>
    <xf numFmtId="0" fontId="0" fillId="0" borderId="2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left" vertical="top" indent="1"/>
    </xf>
    <xf numFmtId="37" fontId="0" fillId="0" borderId="0" xfId="0" applyNumberFormat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0" xfId="4" applyFont="1" applyFill="1" applyAlignment="1">
      <alignment horizontal="center"/>
    </xf>
    <xf numFmtId="0" fontId="33" fillId="0" borderId="0" xfId="4" applyFont="1" applyBorder="1" applyAlignment="1">
      <alignment horizontal="center"/>
    </xf>
    <xf numFmtId="0" fontId="18" fillId="0" borderId="0" xfId="4" applyFont="1" applyBorder="1" applyAlignment="1">
      <alignment horizontal="center"/>
    </xf>
    <xf numFmtId="0" fontId="34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6" fillId="0" borderId="0" xfId="0" applyFont="1" applyAlignment="1">
      <alignment horizontal="left" vertical="top" indent="1"/>
    </xf>
    <xf numFmtId="0" fontId="2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" fillId="0" borderId="9" xfId="1" applyNumberFormat="1" applyFont="1" applyBorder="1" applyAlignment="1">
      <alignment vertical="top"/>
    </xf>
    <xf numFmtId="43" fontId="0" fillId="0" borderId="9" xfId="0" applyNumberFormat="1" applyFont="1" applyBorder="1" applyAlignment="1">
      <alignment vertical="top"/>
    </xf>
    <xf numFmtId="2" fontId="0" fillId="0" borderId="9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12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0" fontId="8" fillId="0" borderId="8" xfId="0" applyFont="1" applyBorder="1" applyAlignment="1">
      <alignment horizontal="left" vertical="top" wrapText="1" indent="1"/>
    </xf>
    <xf numFmtId="37" fontId="12" fillId="0" borderId="2" xfId="0" applyNumberFormat="1" applyFont="1" applyBorder="1" applyAlignment="1">
      <alignment vertical="top"/>
    </xf>
    <xf numFmtId="41" fontId="0" fillId="0" borderId="8" xfId="0" applyNumberFormat="1" applyBorder="1" applyAlignment="1">
      <alignment vertical="top"/>
    </xf>
    <xf numFmtId="39" fontId="0" fillId="0" borderId="9" xfId="1" applyNumberFormat="1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41" fontId="12" fillId="0" borderId="7" xfId="2" applyFont="1" applyBorder="1" applyAlignment="1">
      <alignment vertical="top" wrapText="1"/>
    </xf>
    <xf numFmtId="2" fontId="11" fillId="2" borderId="3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top" wrapText="1" indent="1"/>
    </xf>
    <xf numFmtId="2" fontId="0" fillId="0" borderId="11" xfId="0" applyNumberFormat="1" applyBorder="1" applyAlignment="1">
      <alignment vertical="top"/>
    </xf>
    <xf numFmtId="39" fontId="11" fillId="2" borderId="3" xfId="1" applyNumberFormat="1" applyFont="1" applyFill="1" applyBorder="1" applyAlignment="1">
      <alignment vertical="center"/>
    </xf>
    <xf numFmtId="0" fontId="11" fillId="0" borderId="8" xfId="0" applyFont="1" applyBorder="1" applyAlignment="1">
      <alignment horizontal="center" vertical="top"/>
    </xf>
    <xf numFmtId="0" fontId="10" fillId="0" borderId="7" xfId="0" applyFont="1" applyBorder="1" applyAlignment="1">
      <alignment vertical="top" wrapText="1"/>
    </xf>
    <xf numFmtId="0" fontId="11" fillId="2" borderId="3" xfId="0" applyFont="1" applyFill="1" applyBorder="1" applyAlignment="1">
      <alignment vertical="top"/>
    </xf>
    <xf numFmtId="0" fontId="8" fillId="0" borderId="2" xfId="0" applyFont="1" applyBorder="1" applyAlignment="1">
      <alignment horizontal="left" vertical="top" wrapText="1" indent="1"/>
    </xf>
    <xf numFmtId="0" fontId="12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left" vertical="center" wrapText="1" indent="1"/>
    </xf>
    <xf numFmtId="41" fontId="11" fillId="2" borderId="3" xfId="1" applyNumberFormat="1" applyFont="1" applyFill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0" xfId="0" applyFont="1" applyAlignment="1">
      <alignment vertical="top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2" fontId="11" fillId="2" borderId="3" xfId="0" applyNumberFormat="1" applyFont="1" applyFill="1" applyBorder="1" applyAlignment="1">
      <alignment vertical="top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top"/>
    </xf>
    <xf numFmtId="41" fontId="0" fillId="0" borderId="11" xfId="1" applyNumberFormat="1" applyFont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0" fontId="6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10" fillId="0" borderId="11" xfId="0" quotePrefix="1" applyFont="1" applyBorder="1" applyAlignment="1">
      <alignment vertical="top"/>
    </xf>
    <xf numFmtId="0" fontId="5" fillId="0" borderId="9" xfId="0" applyFont="1" applyBorder="1" applyAlignment="1">
      <alignment horizontal="left" vertical="top" wrapText="1"/>
    </xf>
    <xf numFmtId="0" fontId="10" fillId="0" borderId="7" xfId="0" quotePrefix="1" applyFont="1" applyBorder="1" applyAlignment="1">
      <alignment vertical="top"/>
    </xf>
    <xf numFmtId="0" fontId="11" fillId="2" borderId="4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36" fillId="0" borderId="8" xfId="0" applyFont="1" applyBorder="1" applyAlignment="1">
      <alignment vertical="top"/>
    </xf>
    <xf numFmtId="0" fontId="7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vertical="top" wrapText="1"/>
    </xf>
    <xf numFmtId="0" fontId="8" fillId="0" borderId="8" xfId="0" applyFont="1" applyFill="1" applyBorder="1" applyAlignment="1">
      <alignment horizontal="left" vertical="top" wrapText="1" indent="1"/>
    </xf>
    <xf numFmtId="41" fontId="11" fillId="2" borderId="3" xfId="2" applyFont="1" applyFill="1" applyBorder="1" applyAlignment="1">
      <alignment vertical="top"/>
    </xf>
    <xf numFmtId="0" fontId="8" fillId="0" borderId="6" xfId="0" applyFont="1" applyBorder="1" applyAlignment="1">
      <alignment horizontal="left" vertical="top" wrapText="1" indent="1"/>
    </xf>
    <xf numFmtId="41" fontId="11" fillId="2" borderId="3" xfId="0" applyNumberFormat="1" applyFont="1" applyFill="1" applyBorder="1" applyAlignment="1">
      <alignment vertical="top"/>
    </xf>
    <xf numFmtId="0" fontId="2" fillId="3" borderId="3" xfId="0" applyFont="1" applyFill="1" applyBorder="1" applyAlignment="1">
      <alignment horizontal="center" vertical="top"/>
    </xf>
    <xf numFmtId="37" fontId="11" fillId="3" borderId="3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left" vertical="top" wrapText="1"/>
    </xf>
    <xf numFmtId="0" fontId="0" fillId="0" borderId="17" xfId="0" applyBorder="1" applyAlignment="1">
      <alignment vertical="top"/>
    </xf>
    <xf numFmtId="0" fontId="6" fillId="0" borderId="9" xfId="0" applyFont="1" applyBorder="1" applyAlignment="1">
      <alignment horizontal="left" vertical="top" indent="1"/>
    </xf>
    <xf numFmtId="0" fontId="6" fillId="0" borderId="12" xfId="0" applyFont="1" applyBorder="1" applyAlignment="1">
      <alignment horizontal="left" vertical="top" indent="1"/>
    </xf>
    <xf numFmtId="0" fontId="12" fillId="0" borderId="11" xfId="0" applyFont="1" applyBorder="1" applyAlignment="1">
      <alignment horizontal="center" vertical="top"/>
    </xf>
    <xf numFmtId="41" fontId="0" fillId="0" borderId="11" xfId="0" applyNumberFormat="1" applyBorder="1" applyAlignment="1">
      <alignment vertical="top"/>
    </xf>
    <xf numFmtId="164" fontId="0" fillId="0" borderId="11" xfId="1" applyNumberFormat="1" applyFont="1" applyBorder="1" applyAlignment="1">
      <alignment vertical="top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2" fontId="11" fillId="3" borderId="3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vertical="top"/>
    </xf>
    <xf numFmtId="0" fontId="5" fillId="0" borderId="12" xfId="0" quotePrefix="1" applyFont="1" applyBorder="1" applyAlignment="1">
      <alignment vertical="top" wrapText="1"/>
    </xf>
    <xf numFmtId="2" fontId="11" fillId="3" borderId="3" xfId="0" applyNumberFormat="1" applyFont="1" applyFill="1" applyBorder="1" applyAlignment="1">
      <alignment vertical="center"/>
    </xf>
    <xf numFmtId="0" fontId="0" fillId="0" borderId="11" xfId="0" quotePrefix="1" applyBorder="1" applyAlignment="1">
      <alignment vertical="top"/>
    </xf>
    <xf numFmtId="0" fontId="11" fillId="3" borderId="3" xfId="0" applyFont="1" applyFill="1" applyBorder="1" applyAlignment="1">
      <alignment horizontal="center" vertical="top"/>
    </xf>
    <xf numFmtId="0" fontId="0" fillId="0" borderId="7" xfId="0" applyBorder="1" applyAlignment="1">
      <alignment vertical="top"/>
    </xf>
    <xf numFmtId="43" fontId="11" fillId="3" borderId="3" xfId="1" applyNumberFormat="1" applyFont="1" applyFill="1" applyBorder="1" applyAlignment="1">
      <alignment vertical="center"/>
    </xf>
    <xf numFmtId="41" fontId="11" fillId="3" borderId="3" xfId="1" applyNumberFormat="1" applyFont="1" applyFill="1" applyBorder="1" applyAlignment="1">
      <alignment vertical="center"/>
    </xf>
    <xf numFmtId="2" fontId="11" fillId="3" borderId="3" xfId="0" applyNumberFormat="1" applyFont="1" applyFill="1" applyBorder="1" applyAlignment="1">
      <alignment vertical="top"/>
    </xf>
    <xf numFmtId="41" fontId="11" fillId="3" borderId="3" xfId="1" applyNumberFormat="1" applyFont="1" applyFill="1" applyBorder="1" applyAlignment="1">
      <alignment vertical="top"/>
    </xf>
    <xf numFmtId="41" fontId="12" fillId="0" borderId="12" xfId="1" applyNumberFormat="1" applyFont="1" applyBorder="1" applyAlignment="1">
      <alignment vertical="top"/>
    </xf>
    <xf numFmtId="0" fontId="0" fillId="0" borderId="34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11" fillId="0" borderId="18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/>
    </xf>
    <xf numFmtId="0" fontId="11" fillId="0" borderId="15" xfId="0" applyFont="1" applyBorder="1" applyAlignment="1">
      <alignment vertical="center"/>
    </xf>
    <xf numFmtId="37" fontId="11" fillId="0" borderId="19" xfId="0" applyNumberFormat="1" applyFont="1" applyBorder="1" applyAlignment="1">
      <alignment vertical="center"/>
    </xf>
    <xf numFmtId="0" fontId="14" fillId="0" borderId="15" xfId="0" quotePrefix="1" applyFont="1" applyBorder="1" applyAlignment="1">
      <alignment vertical="top" wrapText="1"/>
    </xf>
    <xf numFmtId="43" fontId="11" fillId="0" borderId="15" xfId="1" applyFont="1" applyBorder="1" applyAlignment="1">
      <alignment vertical="center"/>
    </xf>
    <xf numFmtId="43" fontId="0" fillId="0" borderId="12" xfId="1" applyFont="1" applyBorder="1" applyAlignment="1">
      <alignment vertical="top"/>
    </xf>
    <xf numFmtId="0" fontId="14" fillId="0" borderId="6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2" fontId="11" fillId="0" borderId="6" xfId="0" applyNumberFormat="1" applyFont="1" applyFill="1" applyBorder="1" applyAlignment="1">
      <alignment vertical="center"/>
    </xf>
    <xf numFmtId="41" fontId="11" fillId="0" borderId="6" xfId="1" applyNumberFormat="1" applyFont="1" applyFill="1" applyBorder="1" applyAlignment="1">
      <alignment vertical="center"/>
    </xf>
    <xf numFmtId="0" fontId="0" fillId="0" borderId="9" xfId="0" applyFill="1" applyBorder="1" applyAlignment="1">
      <alignment horizontal="center" vertical="top"/>
    </xf>
    <xf numFmtId="43" fontId="11" fillId="0" borderId="9" xfId="1" applyFont="1" applyFill="1" applyBorder="1" applyAlignment="1">
      <alignment vertical="center"/>
    </xf>
    <xf numFmtId="41" fontId="11" fillId="0" borderId="9" xfId="1" applyNumberFormat="1" applyFont="1" applyFill="1" applyBorder="1" applyAlignment="1">
      <alignment vertical="center"/>
    </xf>
    <xf numFmtId="0" fontId="12" fillId="0" borderId="12" xfId="0" applyFont="1" applyBorder="1" applyAlignment="1">
      <alignment vertical="top" wrapText="1"/>
    </xf>
    <xf numFmtId="0" fontId="0" fillId="0" borderId="0" xfId="0" applyFill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7" xfId="0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17" fillId="2" borderId="3" xfId="0" applyFont="1" applyFill="1" applyBorder="1" applyAlignment="1">
      <alignment horizontal="center" vertical="top"/>
    </xf>
    <xf numFmtId="0" fontId="10" fillId="0" borderId="16" xfId="0" applyFont="1" applyBorder="1" applyAlignment="1">
      <alignment vertical="top"/>
    </xf>
    <xf numFmtId="0" fontId="10" fillId="0" borderId="22" xfId="0" applyFont="1" applyBorder="1" applyAlignment="1">
      <alignment vertical="top" wrapText="1"/>
    </xf>
    <xf numFmtId="0" fontId="12" fillId="2" borderId="3" xfId="0" applyFont="1" applyFill="1" applyBorder="1" applyAlignment="1">
      <alignment vertical="top"/>
    </xf>
    <xf numFmtId="14" fontId="0" fillId="0" borderId="12" xfId="0" applyNumberFormat="1" applyBorder="1" applyAlignment="1">
      <alignment vertical="top"/>
    </xf>
    <xf numFmtId="14" fontId="0" fillId="0" borderId="11" xfId="0" applyNumberFormat="1" applyBorder="1" applyAlignment="1">
      <alignment vertical="top"/>
    </xf>
    <xf numFmtId="0" fontId="12" fillId="0" borderId="11" xfId="0" applyFont="1" applyBorder="1" applyAlignment="1">
      <alignment vertical="top"/>
    </xf>
    <xf numFmtId="43" fontId="0" fillId="0" borderId="11" xfId="0" applyNumberFormat="1" applyBorder="1" applyAlignment="1">
      <alignment vertical="top"/>
    </xf>
    <xf numFmtId="41" fontId="0" fillId="0" borderId="9" xfId="2" applyFont="1" applyBorder="1" applyAlignment="1">
      <alignment vertical="top"/>
    </xf>
    <xf numFmtId="0" fontId="10" fillId="0" borderId="11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9" xfId="0" quotePrefix="1" applyFont="1" applyBorder="1" applyAlignment="1">
      <alignment vertical="top"/>
    </xf>
    <xf numFmtId="3" fontId="18" fillId="0" borderId="9" xfId="0" applyNumberFormat="1" applyFont="1" applyBorder="1" applyAlignment="1">
      <alignment vertical="top"/>
    </xf>
    <xf numFmtId="3" fontId="18" fillId="0" borderId="12" xfId="0" applyNumberFormat="1" applyFont="1" applyBorder="1" applyAlignment="1">
      <alignment vertical="top"/>
    </xf>
    <xf numFmtId="3" fontId="18" fillId="0" borderId="11" xfId="0" applyNumberFormat="1" applyFont="1" applyBorder="1" applyAlignment="1">
      <alignment vertical="top"/>
    </xf>
    <xf numFmtId="0" fontId="8" fillId="0" borderId="9" xfId="0" applyFont="1" applyBorder="1" applyAlignment="1">
      <alignment horizontal="left" vertical="top" indent="1"/>
    </xf>
    <xf numFmtId="0" fontId="37" fillId="0" borderId="15" xfId="0" applyFont="1" applyBorder="1" applyAlignment="1">
      <alignment horizontal="left" vertical="top" indent="1"/>
    </xf>
    <xf numFmtId="0" fontId="12" fillId="0" borderId="9" xfId="0" quotePrefix="1" applyFont="1" applyBorder="1" applyAlignment="1">
      <alignment horizontal="center" vertical="top"/>
    </xf>
    <xf numFmtId="0" fontId="19" fillId="0" borderId="9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14" fontId="12" fillId="0" borderId="9" xfId="0" quotePrefix="1" applyNumberFormat="1" applyFont="1" applyBorder="1" applyAlignment="1">
      <alignment vertical="top"/>
    </xf>
    <xf numFmtId="14" fontId="12" fillId="0" borderId="9" xfId="0" quotePrefix="1" applyNumberFormat="1" applyFont="1" applyBorder="1" applyAlignment="1">
      <alignment horizontal="center" vertical="top"/>
    </xf>
    <xf numFmtId="14" fontId="12" fillId="0" borderId="9" xfId="0" applyNumberFormat="1" applyFont="1" applyBorder="1" applyAlignment="1">
      <alignment vertical="top"/>
    </xf>
    <xf numFmtId="0" fontId="38" fillId="0" borderId="16" xfId="0" applyFont="1" applyBorder="1" applyAlignment="1">
      <alignment vertical="top" wrapText="1"/>
    </xf>
    <xf numFmtId="0" fontId="5" fillId="0" borderId="9" xfId="0" applyFont="1" applyBorder="1" applyAlignment="1">
      <alignment horizontal="left" wrapText="1" indent="1"/>
    </xf>
    <xf numFmtId="0" fontId="6" fillId="0" borderId="9" xfId="0" applyFont="1" applyBorder="1" applyAlignment="1">
      <alignment horizontal="left" wrapText="1" indent="1"/>
    </xf>
    <xf numFmtId="0" fontId="5" fillId="0" borderId="9" xfId="0" applyFont="1" applyBorder="1" applyAlignment="1">
      <alignment horizontal="center" vertical="top" wrapText="1"/>
    </xf>
    <xf numFmtId="41" fontId="12" fillId="0" borderId="9" xfId="1" quotePrefix="1" applyNumberFormat="1" applyFont="1" applyBorder="1" applyAlignment="1">
      <alignment horizontal="center" vertical="top"/>
    </xf>
    <xf numFmtId="0" fontId="12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vertical="top" wrapText="1"/>
    </xf>
    <xf numFmtId="41" fontId="11" fillId="2" borderId="3" xfId="2" applyFont="1" applyFill="1" applyBorder="1" applyAlignment="1">
      <alignment vertical="center"/>
    </xf>
    <xf numFmtId="41" fontId="39" fillId="0" borderId="9" xfId="2" applyFont="1" applyFill="1" applyBorder="1" applyAlignment="1">
      <alignment horizontal="left" vertical="top" wrapText="1"/>
    </xf>
    <xf numFmtId="41" fontId="39" fillId="0" borderId="9" xfId="2" applyFont="1" applyFill="1" applyBorder="1" applyAlignment="1">
      <alignment vertical="top"/>
    </xf>
    <xf numFmtId="41" fontId="39" fillId="0" borderId="9" xfId="2" applyFont="1" applyFill="1" applyBorder="1" applyAlignment="1">
      <alignment horizontal="center" vertical="top"/>
    </xf>
    <xf numFmtId="14" fontId="39" fillId="0" borderId="9" xfId="2" applyNumberFormat="1" applyFont="1" applyFill="1" applyBorder="1" applyAlignment="1">
      <alignment vertical="top"/>
    </xf>
    <xf numFmtId="14" fontId="39" fillId="0" borderId="9" xfId="2" applyNumberFormat="1" applyFont="1" applyFill="1" applyBorder="1" applyAlignment="1">
      <alignment horizontal="center" vertical="top"/>
    </xf>
    <xf numFmtId="41" fontId="39" fillId="0" borderId="9" xfId="2" quotePrefix="1" applyFont="1" applyFill="1" applyBorder="1" applyAlignment="1">
      <alignment horizontal="center" vertical="top"/>
    </xf>
    <xf numFmtId="41" fontId="39" fillId="0" borderId="9" xfId="2" applyFont="1" applyFill="1" applyBorder="1" applyAlignment="1">
      <alignment horizontal="center" vertical="top" wrapText="1"/>
    </xf>
    <xf numFmtId="14" fontId="39" fillId="0" borderId="9" xfId="2" quotePrefix="1" applyNumberFormat="1" applyFont="1" applyFill="1" applyBorder="1" applyAlignment="1">
      <alignment horizontal="center" vertical="top"/>
    </xf>
    <xf numFmtId="41" fontId="5" fillId="0" borderId="9" xfId="2" applyFont="1" applyFill="1" applyBorder="1" applyAlignment="1">
      <alignment vertical="top"/>
    </xf>
    <xf numFmtId="14" fontId="5" fillId="0" borderId="9" xfId="2" applyNumberFormat="1" applyFont="1" applyFill="1" applyBorder="1" applyAlignment="1">
      <alignment vertical="top"/>
    </xf>
    <xf numFmtId="14" fontId="5" fillId="0" borderId="9" xfId="2" applyNumberFormat="1" applyFont="1" applyFill="1" applyBorder="1" applyAlignment="1">
      <alignment horizontal="center" vertical="top"/>
    </xf>
    <xf numFmtId="41" fontId="39" fillId="0" borderId="9" xfId="2" applyFont="1" applyBorder="1" applyAlignment="1">
      <alignment horizontal="left" vertical="top" wrapText="1"/>
    </xf>
    <xf numFmtId="41" fontId="39" fillId="0" borderId="9" xfId="2" applyFont="1" applyBorder="1" applyAlignment="1">
      <alignment horizontal="right" vertical="top" wrapText="1"/>
    </xf>
    <xf numFmtId="14" fontId="39" fillId="0" borderId="9" xfId="2" applyNumberFormat="1" applyFont="1" applyBorder="1" applyAlignment="1">
      <alignment horizontal="right" vertical="top" wrapText="1"/>
    </xf>
    <xf numFmtId="41" fontId="39" fillId="0" borderId="12" xfId="2" applyFont="1" applyBorder="1" applyAlignment="1">
      <alignment horizontal="left" vertical="top" wrapText="1"/>
    </xf>
    <xf numFmtId="41" fontId="39" fillId="0" borderId="12" xfId="2" applyFont="1" applyBorder="1" applyAlignment="1">
      <alignment horizontal="right" vertical="top" wrapText="1"/>
    </xf>
    <xf numFmtId="14" fontId="39" fillId="0" borderId="12" xfId="2" applyNumberFormat="1" applyFont="1" applyBorder="1" applyAlignment="1">
      <alignment horizontal="right" vertical="top" wrapText="1"/>
    </xf>
    <xf numFmtId="0" fontId="40" fillId="0" borderId="9" xfId="0" applyFont="1" applyBorder="1" applyAlignment="1">
      <alignment horizontal="center" vertical="top" wrapText="1"/>
    </xf>
    <xf numFmtId="2" fontId="1" fillId="0" borderId="9" xfId="1" applyNumberFormat="1" applyFont="1" applyBorder="1" applyAlignment="1">
      <alignment vertical="top"/>
    </xf>
    <xf numFmtId="0" fontId="9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11" fillId="0" borderId="9" xfId="0" quotePrefix="1" applyFont="1" applyBorder="1" applyAlignment="1">
      <alignment vertical="top"/>
    </xf>
    <xf numFmtId="0" fontId="5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1" fontId="1" fillId="0" borderId="12" xfId="1" applyNumberFormat="1" applyFont="1" applyBorder="1" applyAlignment="1">
      <alignment vertical="top"/>
    </xf>
    <xf numFmtId="0" fontId="12" fillId="0" borderId="12" xfId="0" quotePrefix="1" applyFont="1" applyBorder="1" applyAlignment="1">
      <alignment vertical="top"/>
    </xf>
    <xf numFmtId="37" fontId="41" fillId="0" borderId="15" xfId="0" applyNumberFormat="1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43" fontId="11" fillId="2" borderId="3" xfId="1" applyFont="1" applyFill="1" applyBorder="1" applyAlignment="1">
      <alignment vertical="center"/>
    </xf>
    <xf numFmtId="41" fontId="42" fillId="0" borderId="15" xfId="2" applyFont="1" applyFill="1" applyBorder="1" applyAlignment="1">
      <alignment vertical="center"/>
    </xf>
    <xf numFmtId="41" fontId="43" fillId="0" borderId="9" xfId="2" applyFont="1" applyFill="1" applyBorder="1" applyAlignment="1">
      <alignment horizontal="center" vertical="top" wrapText="1"/>
    </xf>
    <xf numFmtId="41" fontId="43" fillId="0" borderId="9" xfId="2" applyFont="1" applyFill="1" applyBorder="1" applyAlignment="1">
      <alignment horizontal="center" vertical="center" wrapText="1"/>
    </xf>
    <xf numFmtId="41" fontId="43" fillId="0" borderId="12" xfId="2" applyFont="1" applyFill="1" applyBorder="1" applyAlignment="1">
      <alignment horizontal="center" vertical="center" wrapText="1"/>
    </xf>
    <xf numFmtId="0" fontId="12" fillId="0" borderId="12" xfId="0" quotePrefix="1" applyFont="1" applyBorder="1" applyAlignment="1">
      <alignment horizontal="center" vertical="top"/>
    </xf>
    <xf numFmtId="37" fontId="16" fillId="0" borderId="7" xfId="0" applyNumberFormat="1" applyFont="1" applyBorder="1" applyAlignment="1">
      <alignment vertical="top" wrapText="1"/>
    </xf>
    <xf numFmtId="41" fontId="18" fillId="0" borderId="9" xfId="2" applyFont="1" applyFill="1" applyBorder="1" applyAlignment="1">
      <alignment horizontal="right" vertical="center"/>
    </xf>
    <xf numFmtId="17" fontId="0" fillId="0" borderId="9" xfId="0" quotePrefix="1" applyNumberFormat="1" applyBorder="1" applyAlignment="1">
      <alignment vertical="top"/>
    </xf>
    <xf numFmtId="0" fontId="11" fillId="0" borderId="9" xfId="0" quotePrefix="1" applyFont="1" applyBorder="1" applyAlignment="1">
      <alignment horizontal="center" vertical="top"/>
    </xf>
    <xf numFmtId="37" fontId="12" fillId="0" borderId="9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1" fontId="0" fillId="0" borderId="9" xfId="0" applyNumberFormat="1" applyBorder="1" applyAlignment="1">
      <alignment vertical="top"/>
    </xf>
    <xf numFmtId="164" fontId="0" fillId="0" borderId="9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0" fontId="7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1" fontId="46" fillId="4" borderId="9" xfId="2" applyNumberFormat="1" applyFont="1" applyFill="1" applyBorder="1" applyAlignment="1">
      <alignment horizontal="center" vertical="center"/>
    </xf>
    <xf numFmtId="41" fontId="46" fillId="4" borderId="9" xfId="2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0" fillId="0" borderId="23" xfId="0" applyFont="1" applyBorder="1" applyAlignment="1">
      <alignment vertical="top"/>
    </xf>
    <xf numFmtId="0" fontId="5" fillId="0" borderId="23" xfId="0" applyFont="1" applyBorder="1" applyAlignment="1">
      <alignment vertical="top" wrapText="1"/>
    </xf>
    <xf numFmtId="37" fontId="5" fillId="0" borderId="10" xfId="0" applyNumberFormat="1" applyFont="1" applyBorder="1" applyAlignment="1">
      <alignment vertical="top" wrapText="1"/>
    </xf>
    <xf numFmtId="0" fontId="0" fillId="0" borderId="19" xfId="0" applyBorder="1" applyAlignment="1">
      <alignment vertical="top"/>
    </xf>
    <xf numFmtId="0" fontId="12" fillId="0" borderId="1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20" fillId="0" borderId="10" xfId="0" applyFont="1" applyBorder="1" applyAlignment="1">
      <alignment vertical="top"/>
    </xf>
    <xf numFmtId="0" fontId="9" fillId="0" borderId="18" xfId="0" applyFont="1" applyBorder="1" applyAlignment="1">
      <alignment vertical="top" wrapText="1"/>
    </xf>
    <xf numFmtId="0" fontId="0" fillId="0" borderId="30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0" xfId="0" applyBorder="1" applyAlignment="1">
      <alignment vertical="top"/>
    </xf>
    <xf numFmtId="37" fontId="5" fillId="0" borderId="18" xfId="0" applyNumberFormat="1" applyFont="1" applyBorder="1" applyAlignment="1">
      <alignment vertical="top" wrapText="1"/>
    </xf>
    <xf numFmtId="0" fontId="11" fillId="2" borderId="4" xfId="0" applyFont="1" applyFill="1" applyBorder="1" applyAlignment="1">
      <alignment vertical="center"/>
    </xf>
    <xf numFmtId="0" fontId="0" fillId="0" borderId="25" xfId="0" applyBorder="1" applyAlignment="1">
      <alignment vertical="top"/>
    </xf>
    <xf numFmtId="0" fontId="2" fillId="0" borderId="18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20" fillId="0" borderId="18" xfId="0" applyFont="1" applyBorder="1" applyAlignment="1">
      <alignment vertical="top"/>
    </xf>
    <xf numFmtId="0" fontId="5" fillId="0" borderId="18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37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top"/>
    </xf>
    <xf numFmtId="0" fontId="0" fillId="0" borderId="13" xfId="0" applyBorder="1" applyAlignment="1">
      <alignment vertical="top"/>
    </xf>
    <xf numFmtId="0" fontId="11" fillId="3" borderId="5" xfId="0" applyFont="1" applyFill="1" applyBorder="1" applyAlignment="1">
      <alignment vertical="center"/>
    </xf>
    <xf numFmtId="0" fontId="12" fillId="0" borderId="24" xfId="0" applyFont="1" applyBorder="1" applyAlignment="1">
      <alignment vertical="top"/>
    </xf>
    <xf numFmtId="0" fontId="11" fillId="0" borderId="1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0" fillId="0" borderId="26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1" xfId="0" applyBorder="1" applyAlignment="1">
      <alignment vertical="top"/>
    </xf>
    <xf numFmtId="0" fontId="11" fillId="3" borderId="4" xfId="0" applyFont="1" applyFill="1" applyBorder="1" applyAlignment="1">
      <alignment vertical="center"/>
    </xf>
    <xf numFmtId="0" fontId="12" fillId="0" borderId="34" xfId="0" applyFont="1" applyBorder="1" applyAlignment="1">
      <alignment vertical="top"/>
    </xf>
    <xf numFmtId="0" fontId="11" fillId="0" borderId="21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0" fillId="2" borderId="5" xfId="0" applyFill="1" applyBorder="1" applyAlignment="1">
      <alignment vertical="top"/>
    </xf>
    <xf numFmtId="41" fontId="39" fillId="0" borderId="0" xfId="2" quotePrefix="1" applyFont="1" applyFill="1" applyBorder="1" applyAlignment="1">
      <alignment horizontal="center" vertical="top"/>
    </xf>
    <xf numFmtId="0" fontId="0" fillId="0" borderId="8" xfId="0" quotePrefix="1" applyBorder="1" applyAlignment="1">
      <alignment horizontal="center" vertical="top"/>
    </xf>
    <xf numFmtId="0" fontId="10" fillId="0" borderId="29" xfId="0" applyFont="1" applyBorder="1" applyAlignment="1">
      <alignment vertical="top"/>
    </xf>
    <xf numFmtId="0" fontId="10" fillId="0" borderId="29" xfId="0" applyFont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12" fillId="2" borderId="3" xfId="0" quotePrefix="1" applyFont="1" applyFill="1" applyBorder="1" applyAlignment="1">
      <alignment horizontal="center" vertical="center"/>
    </xf>
    <xf numFmtId="37" fontId="5" fillId="0" borderId="18" xfId="0" applyNumberFormat="1" applyFont="1" applyBorder="1" applyAlignment="1">
      <alignment horizontal="center" vertical="top" wrapText="1"/>
    </xf>
    <xf numFmtId="37" fontId="5" fillId="0" borderId="25" xfId="0" applyNumberFormat="1" applyFont="1" applyBorder="1" applyAlignment="1">
      <alignment vertical="top" wrapText="1"/>
    </xf>
    <xf numFmtId="37" fontId="11" fillId="0" borderId="20" xfId="0" applyNumberFormat="1" applyFont="1" applyFill="1" applyBorder="1" applyAlignment="1">
      <alignment horizontal="right" vertical="center"/>
    </xf>
    <xf numFmtId="0" fontId="11" fillId="2" borderId="32" xfId="0" applyFont="1" applyFill="1" applyBorder="1" applyAlignment="1">
      <alignment vertical="center"/>
    </xf>
    <xf numFmtId="0" fontId="0" fillId="0" borderId="10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47" fillId="0" borderId="1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47" fillId="0" borderId="19" xfId="0" applyFont="1" applyBorder="1" applyAlignment="1">
      <alignment vertical="top"/>
    </xf>
    <xf numFmtId="0" fontId="28" fillId="2" borderId="4" xfId="0" applyFont="1" applyFill="1" applyBorder="1" applyAlignment="1">
      <alignment vertical="center"/>
    </xf>
    <xf numFmtId="0" fontId="29" fillId="0" borderId="25" xfId="0" applyFont="1" applyBorder="1" applyAlignment="1">
      <alignment vertical="top"/>
    </xf>
    <xf numFmtId="0" fontId="29" fillId="0" borderId="18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35" xfId="0" applyFont="1" applyBorder="1" applyAlignment="1">
      <alignment vertical="top"/>
    </xf>
    <xf numFmtId="0" fontId="9" fillId="2" borderId="4" xfId="0" applyFont="1" applyFill="1" applyBorder="1" applyAlignment="1">
      <alignment vertical="center"/>
    </xf>
    <xf numFmtId="0" fontId="0" fillId="0" borderId="15" xfId="0" quotePrefix="1" applyBorder="1" applyAlignment="1">
      <alignment horizontal="center" vertical="top"/>
    </xf>
    <xf numFmtId="0" fontId="11" fillId="2" borderId="3" xfId="0" quotePrefix="1" applyFont="1" applyFill="1" applyBorder="1" applyAlignment="1">
      <alignment horizontal="center" vertical="center"/>
    </xf>
    <xf numFmtId="0" fontId="10" fillId="0" borderId="36" xfId="0" applyFont="1" applyBorder="1" applyAlignment="1">
      <alignment vertical="top"/>
    </xf>
    <xf numFmtId="41" fontId="10" fillId="0" borderId="35" xfId="1" applyNumberFormat="1" applyFont="1" applyBorder="1" applyAlignment="1">
      <alignment vertical="top"/>
    </xf>
    <xf numFmtId="41" fontId="0" fillId="0" borderId="16" xfId="1" applyNumberFormat="1" applyFont="1" applyBorder="1" applyAlignment="1">
      <alignment horizontal="center" vertical="top"/>
    </xf>
    <xf numFmtId="0" fontId="10" fillId="0" borderId="30" xfId="0" applyFont="1" applyBorder="1" applyAlignment="1">
      <alignment vertical="top"/>
    </xf>
    <xf numFmtId="0" fontId="10" fillId="0" borderId="18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41" fontId="0" fillId="0" borderId="36" xfId="1" applyNumberFormat="1" applyFont="1" applyBorder="1" applyAlignment="1">
      <alignment vertical="top"/>
    </xf>
    <xf numFmtId="41" fontId="2" fillId="0" borderId="16" xfId="1" applyNumberFormat="1" applyFont="1" applyBorder="1" applyAlignment="1">
      <alignment vertical="top"/>
    </xf>
    <xf numFmtId="41" fontId="11" fillId="2" borderId="4" xfId="1" applyNumberFormat="1" applyFont="1" applyFill="1" applyBorder="1" applyAlignment="1">
      <alignment vertical="center"/>
    </xf>
    <xf numFmtId="0" fontId="10" fillId="0" borderId="35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1" fillId="2" borderId="3" xfId="0" quotePrefix="1" applyFont="1" applyFill="1" applyBorder="1" applyAlignment="1">
      <alignment horizontal="center" vertical="top"/>
    </xf>
    <xf numFmtId="41" fontId="10" fillId="0" borderId="36" xfId="1" applyNumberFormat="1" applyFont="1" applyBorder="1" applyAlignment="1">
      <alignment vertical="top"/>
    </xf>
    <xf numFmtId="43" fontId="10" fillId="0" borderId="19" xfId="1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0" fontId="10" fillId="0" borderId="24" xfId="0" applyFont="1" applyBorder="1" applyAlignment="1">
      <alignment horizontal="center" vertical="top"/>
    </xf>
    <xf numFmtId="41" fontId="10" fillId="0" borderId="19" xfId="1" applyNumberFormat="1" applyFont="1" applyBorder="1" applyAlignment="1">
      <alignment horizontal="center" vertical="top"/>
    </xf>
    <xf numFmtId="37" fontId="10" fillId="0" borderId="28" xfId="1" applyNumberFormat="1" applyFont="1" applyBorder="1" applyAlignment="1">
      <alignment vertical="top"/>
    </xf>
    <xf numFmtId="41" fontId="10" fillId="0" borderId="18" xfId="1" applyNumberFormat="1" applyFont="1" applyBorder="1" applyAlignment="1">
      <alignment vertical="top"/>
    </xf>
    <xf numFmtId="41" fontId="10" fillId="0" borderId="13" xfId="1" applyNumberFormat="1" applyFont="1" applyBorder="1" applyAlignment="1">
      <alignment horizontal="center" vertical="top"/>
    </xf>
    <xf numFmtId="0" fontId="10" fillId="0" borderId="25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41" fontId="10" fillId="0" borderId="17" xfId="1" applyNumberFormat="1" applyFont="1" applyBorder="1" applyAlignment="1">
      <alignment vertical="top"/>
    </xf>
    <xf numFmtId="0" fontId="10" fillId="2" borderId="5" xfId="0" applyFont="1" applyFill="1" applyBorder="1" applyAlignment="1">
      <alignment vertical="top"/>
    </xf>
    <xf numFmtId="0" fontId="29" fillId="0" borderId="18" xfId="0" applyFont="1" applyBorder="1" applyAlignment="1">
      <alignment horizontal="center" vertical="top"/>
    </xf>
    <xf numFmtId="0" fontId="2" fillId="0" borderId="34" xfId="0" applyFont="1" applyBorder="1" applyAlignment="1">
      <alignment vertical="top"/>
    </xf>
    <xf numFmtId="0" fontId="10" fillId="2" borderId="5" xfId="0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vertical="top" wrapText="1"/>
    </xf>
    <xf numFmtId="0" fontId="10" fillId="0" borderId="28" xfId="0" applyFont="1" applyBorder="1" applyAlignment="1">
      <alignment vertical="top"/>
    </xf>
    <xf numFmtId="37" fontId="5" fillId="0" borderId="16" xfId="0" applyNumberFormat="1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22" xfId="0" applyBorder="1" applyAlignment="1">
      <alignment vertical="top"/>
    </xf>
    <xf numFmtId="0" fontId="11" fillId="3" borderId="32" xfId="0" applyFont="1" applyFill="1" applyBorder="1" applyAlignment="1">
      <alignment vertical="center"/>
    </xf>
    <xf numFmtId="0" fontId="12" fillId="0" borderId="16" xfId="0" applyFont="1" applyBorder="1" applyAlignment="1">
      <alignment vertical="top"/>
    </xf>
    <xf numFmtId="0" fontId="12" fillId="0" borderId="23" xfId="0" applyFont="1" applyBorder="1" applyAlignment="1">
      <alignment vertical="top"/>
    </xf>
    <xf numFmtId="0" fontId="11" fillId="0" borderId="16" xfId="0" applyFont="1" applyFill="1" applyBorder="1" applyAlignment="1">
      <alignment vertical="center"/>
    </xf>
    <xf numFmtId="0" fontId="21" fillId="0" borderId="21" xfId="0" applyFont="1" applyBorder="1" applyAlignment="1">
      <alignment vertical="top"/>
    </xf>
    <xf numFmtId="0" fontId="47" fillId="0" borderId="16" xfId="0" applyFont="1" applyBorder="1" applyAlignment="1">
      <alignment vertical="top"/>
    </xf>
    <xf numFmtId="0" fontId="21" fillId="0" borderId="16" xfId="0" applyFont="1" applyBorder="1" applyAlignment="1">
      <alignment vertical="top"/>
    </xf>
    <xf numFmtId="0" fontId="47" fillId="0" borderId="21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41" fontId="10" fillId="0" borderId="16" xfId="1" applyNumberFormat="1" applyFont="1" applyBorder="1" applyAlignment="1">
      <alignment horizontal="center" vertical="top"/>
    </xf>
    <xf numFmtId="41" fontId="11" fillId="2" borderId="32" xfId="1" applyNumberFormat="1" applyFont="1" applyFill="1" applyBorder="1" applyAlignment="1">
      <alignment vertical="center"/>
    </xf>
    <xf numFmtId="0" fontId="29" fillId="0" borderId="16" xfId="0" applyFont="1" applyBorder="1" applyAlignment="1">
      <alignment horizontal="center" vertical="top"/>
    </xf>
    <xf numFmtId="0" fontId="28" fillId="2" borderId="32" xfId="0" applyFont="1" applyFill="1" applyBorder="1" applyAlignment="1">
      <alignment vertical="center"/>
    </xf>
    <xf numFmtId="41" fontId="10" fillId="0" borderId="16" xfId="1" applyNumberFormat="1" applyFont="1" applyBorder="1" applyAlignment="1">
      <alignment vertical="top"/>
    </xf>
    <xf numFmtId="41" fontId="10" fillId="0" borderId="23" xfId="1" applyNumberFormat="1" applyFont="1" applyBorder="1" applyAlignment="1">
      <alignment vertical="top"/>
    </xf>
    <xf numFmtId="41" fontId="9" fillId="2" borderId="32" xfId="1" applyNumberFormat="1" applyFont="1" applyFill="1" applyBorder="1" applyAlignment="1">
      <alignment vertical="center"/>
    </xf>
    <xf numFmtId="0" fontId="24" fillId="0" borderId="18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41" fontId="10" fillId="0" borderId="23" xfId="1" applyNumberFormat="1" applyFont="1" applyBorder="1" applyAlignment="1">
      <alignment horizontal="center" vertical="top"/>
    </xf>
    <xf numFmtId="41" fontId="11" fillId="2" borderId="4" xfId="1" applyNumberFormat="1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top"/>
    </xf>
    <xf numFmtId="41" fontId="12" fillId="0" borderId="6" xfId="2" applyFont="1" applyBorder="1" applyAlignment="1">
      <alignment vertical="top" wrapText="1"/>
    </xf>
    <xf numFmtId="0" fontId="10" fillId="3" borderId="5" xfId="0" applyFont="1" applyFill="1" applyBorder="1" applyAlignment="1">
      <alignment vertical="top"/>
    </xf>
    <xf numFmtId="41" fontId="0" fillId="0" borderId="25" xfId="1" applyNumberFormat="1" applyFont="1" applyBorder="1" applyAlignment="1">
      <alignment horizontal="center" vertical="top"/>
    </xf>
    <xf numFmtId="41" fontId="10" fillId="0" borderId="35" xfId="1" applyNumberFormat="1" applyFont="1" applyBorder="1" applyAlignment="1">
      <alignment horizontal="center" vertical="top"/>
    </xf>
    <xf numFmtId="41" fontId="0" fillId="0" borderId="21" xfId="1" applyNumberFormat="1" applyFont="1" applyBorder="1" applyAlignment="1">
      <alignment vertical="top"/>
    </xf>
    <xf numFmtId="0" fontId="9" fillId="0" borderId="3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41" fontId="0" fillId="0" borderId="35" xfId="1" applyNumberFormat="1" applyFont="1" applyBorder="1" applyAlignment="1">
      <alignment vertical="top"/>
    </xf>
    <xf numFmtId="41" fontId="0" fillId="0" borderId="18" xfId="1" applyNumberFormat="1" applyFont="1" applyBorder="1" applyAlignment="1">
      <alignment vertical="top"/>
    </xf>
    <xf numFmtId="0" fontId="0" fillId="0" borderId="34" xfId="0" applyFont="1" applyBorder="1" applyAlignment="1">
      <alignment vertical="top"/>
    </xf>
    <xf numFmtId="0" fontId="5" fillId="0" borderId="1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10" fillId="0" borderId="13" xfId="0" applyFont="1" applyBorder="1" applyAlignment="1">
      <alignment vertical="top"/>
    </xf>
    <xf numFmtId="37" fontId="4" fillId="0" borderId="15" xfId="0" applyNumberFormat="1" applyFont="1" applyBorder="1" applyAlignment="1">
      <alignment vertical="top" wrapText="1"/>
    </xf>
    <xf numFmtId="41" fontId="0" fillId="0" borderId="16" xfId="1" applyNumberFormat="1" applyFont="1" applyBorder="1" applyAlignment="1">
      <alignment vertical="top"/>
    </xf>
    <xf numFmtId="0" fontId="10" fillId="0" borderId="13" xfId="0" applyFont="1" applyBorder="1" applyAlignment="1">
      <alignment horizontal="center" vertical="top"/>
    </xf>
    <xf numFmtId="41" fontId="0" fillId="0" borderId="23" xfId="1" applyNumberFormat="1" applyFont="1" applyBorder="1" applyAlignment="1">
      <alignment vertical="top"/>
    </xf>
    <xf numFmtId="0" fontId="10" fillId="0" borderId="17" xfId="0" applyFont="1" applyBorder="1" applyAlignment="1">
      <alignment horizontal="center" vertical="top"/>
    </xf>
    <xf numFmtId="41" fontId="2" fillId="0" borderId="23" xfId="1" applyNumberFormat="1" applyFont="1" applyBorder="1" applyAlignment="1">
      <alignment vertical="top"/>
    </xf>
    <xf numFmtId="0" fontId="0" fillId="2" borderId="3" xfId="0" quotePrefix="1" applyFill="1" applyBorder="1" applyAlignment="1">
      <alignment vertical="top"/>
    </xf>
    <xf numFmtId="0" fontId="0" fillId="2" borderId="3" xfId="0" quotePrefix="1" applyFill="1" applyBorder="1" applyAlignment="1">
      <alignment horizontal="center" vertical="top"/>
    </xf>
    <xf numFmtId="37" fontId="11" fillId="2" borderId="4" xfId="0" applyNumberFormat="1" applyFont="1" applyFill="1" applyBorder="1" applyAlignment="1">
      <alignment vertical="center"/>
    </xf>
    <xf numFmtId="0" fontId="9" fillId="2" borderId="32" xfId="0" applyFont="1" applyFill="1" applyBorder="1" applyAlignment="1">
      <alignment vertical="center"/>
    </xf>
    <xf numFmtId="41" fontId="10" fillId="0" borderId="9" xfId="1" applyNumberFormat="1" applyFont="1" applyBorder="1" applyAlignment="1">
      <alignment vertical="top"/>
    </xf>
    <xf numFmtId="41" fontId="5" fillId="0" borderId="9" xfId="1" applyNumberFormat="1" applyFont="1" applyBorder="1" applyAlignment="1">
      <alignment vertical="top"/>
    </xf>
    <xf numFmtId="37" fontId="5" fillId="0" borderId="9" xfId="0" applyNumberFormat="1" applyFont="1" applyBorder="1" applyAlignment="1">
      <alignment vertical="top"/>
    </xf>
    <xf numFmtId="41" fontId="10" fillId="0" borderId="9" xfId="0" applyNumberFormat="1" applyFont="1" applyBorder="1" applyAlignment="1">
      <alignment vertical="top"/>
    </xf>
    <xf numFmtId="41" fontId="0" fillId="0" borderId="0" xfId="1" applyNumberFormat="1" applyFont="1" applyBorder="1" applyAlignment="1">
      <alignment vertical="top"/>
    </xf>
    <xf numFmtId="0" fontId="3" fillId="0" borderId="0" xfId="0" applyFont="1" applyBorder="1" applyAlignment="1"/>
    <xf numFmtId="0" fontId="0" fillId="0" borderId="23" xfId="0" applyBorder="1" applyAlignment="1">
      <alignment horizontal="center" vertical="top"/>
    </xf>
    <xf numFmtId="41" fontId="12" fillId="0" borderId="23" xfId="2" applyFont="1" applyBorder="1" applyAlignment="1">
      <alignment vertical="top" wrapText="1"/>
    </xf>
    <xf numFmtId="2" fontId="0" fillId="0" borderId="23" xfId="0" applyNumberFormat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37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top"/>
    </xf>
    <xf numFmtId="41" fontId="39" fillId="0" borderId="9" xfId="2" applyFont="1" applyFill="1" applyBorder="1" applyAlignment="1">
      <alignment vertical="top" wrapText="1"/>
    </xf>
    <xf numFmtId="43" fontId="0" fillId="0" borderId="9" xfId="0" applyNumberFormat="1" applyBorder="1" applyAlignment="1">
      <alignment horizontal="right" vertical="top" wrapText="1"/>
    </xf>
    <xf numFmtId="43" fontId="0" fillId="0" borderId="6" xfId="1" applyFont="1" applyBorder="1" applyAlignment="1">
      <alignment vertical="top"/>
    </xf>
    <xf numFmtId="41" fontId="5" fillId="0" borderId="1" xfId="0" applyNumberFormat="1" applyFont="1" applyBorder="1" applyAlignment="1">
      <alignment vertical="top"/>
    </xf>
    <xf numFmtId="0" fontId="0" fillId="0" borderId="0" xfId="0" applyAlignment="1">
      <alignment vertical="top" wrapText="1"/>
    </xf>
    <xf numFmtId="14" fontId="0" fillId="0" borderId="9" xfId="0" quotePrefix="1" applyNumberFormat="1" applyBorder="1" applyAlignment="1">
      <alignment vertical="top"/>
    </xf>
    <xf numFmtId="0" fontId="0" fillId="0" borderId="12" xfId="0" applyBorder="1" applyAlignment="1">
      <alignment vertical="top" wrapText="1"/>
    </xf>
    <xf numFmtId="0" fontId="12" fillId="0" borderId="9" xfId="0" applyFont="1" applyFill="1" applyBorder="1" applyAlignment="1">
      <alignment vertical="top"/>
    </xf>
    <xf numFmtId="0" fontId="0" fillId="0" borderId="9" xfId="0" applyNumberFormat="1" applyFill="1" applyBorder="1" applyAlignment="1">
      <alignment vertical="top"/>
    </xf>
    <xf numFmtId="14" fontId="12" fillId="0" borderId="9" xfId="0" applyNumberFormat="1" applyFont="1" applyFill="1" applyBorder="1" applyAlignment="1">
      <alignment vertical="top"/>
    </xf>
    <xf numFmtId="0" fontId="12" fillId="0" borderId="9" xfId="0" applyNumberFormat="1" applyFont="1" applyFill="1" applyBorder="1" applyAlignment="1">
      <alignment vertical="top"/>
    </xf>
    <xf numFmtId="0" fontId="0" fillId="0" borderId="12" xfId="0" applyFill="1" applyBorder="1" applyAlignment="1">
      <alignment vertical="top"/>
    </xf>
    <xf numFmtId="41" fontId="0" fillId="0" borderId="12" xfId="0" applyNumberFormat="1" applyFill="1" applyBorder="1" applyAlignment="1">
      <alignment vertical="top"/>
    </xf>
    <xf numFmtId="0" fontId="9" fillId="2" borderId="3" xfId="0" applyFont="1" applyFill="1" applyBorder="1" applyAlignment="1">
      <alignment horizontal="center" vertical="center" wrapText="1"/>
    </xf>
    <xf numFmtId="41" fontId="5" fillId="0" borderId="16" xfId="1" applyNumberFormat="1" applyFont="1" applyBorder="1" applyAlignment="1">
      <alignment vertical="top" wrapText="1"/>
    </xf>
    <xf numFmtId="37" fontId="9" fillId="2" borderId="32" xfId="0" applyNumberFormat="1" applyFont="1" applyFill="1" applyBorder="1" applyAlignment="1">
      <alignment horizontal="right" vertical="center"/>
    </xf>
    <xf numFmtId="0" fontId="44" fillId="0" borderId="24" xfId="0" applyFont="1" applyBorder="1" applyAlignment="1">
      <alignment vertical="top"/>
    </xf>
    <xf numFmtId="0" fontId="44" fillId="2" borderId="5" xfId="0" applyFont="1" applyFill="1" applyBorder="1" applyAlignment="1">
      <alignment vertical="top"/>
    </xf>
    <xf numFmtId="0" fontId="44" fillId="0" borderId="19" xfId="0" applyFont="1" applyBorder="1" applyAlignment="1">
      <alignment vertical="top"/>
    </xf>
    <xf numFmtId="41" fontId="11" fillId="2" borderId="3" xfId="1" applyNumberFormat="1" applyFont="1" applyFill="1" applyBorder="1" applyAlignment="1">
      <alignment horizontal="center" vertical="center"/>
    </xf>
    <xf numFmtId="37" fontId="11" fillId="0" borderId="15" xfId="0" applyNumberFormat="1" applyFont="1" applyBorder="1" applyAlignment="1">
      <alignment horizontal="center" vertical="top" wrapText="1"/>
    </xf>
    <xf numFmtId="2" fontId="12" fillId="0" borderId="9" xfId="0" applyNumberFormat="1" applyFont="1" applyFill="1" applyBorder="1" applyAlignment="1">
      <alignment vertical="center"/>
    </xf>
    <xf numFmtId="41" fontId="0" fillId="0" borderId="9" xfId="0" applyNumberFormat="1" applyFill="1" applyBorder="1" applyAlignment="1">
      <alignment vertical="top" wrapText="1"/>
    </xf>
    <xf numFmtId="41" fontId="0" fillId="0" borderId="9" xfId="0" applyNumberFormat="1" applyFill="1" applyBorder="1" applyAlignment="1">
      <alignment vertical="top"/>
    </xf>
    <xf numFmtId="41" fontId="21" fillId="0" borderId="9" xfId="0" applyNumberFormat="1" applyFont="1" applyFill="1" applyBorder="1" applyAlignment="1">
      <alignment vertical="center"/>
    </xf>
    <xf numFmtId="41" fontId="21" fillId="0" borderId="9" xfId="0" applyNumberFormat="1" applyFont="1" applyFill="1" applyBorder="1" applyAlignment="1">
      <alignment vertical="top"/>
    </xf>
    <xf numFmtId="41" fontId="0" fillId="0" borderId="15" xfId="0" applyNumberFormat="1" applyFill="1" applyBorder="1" applyAlignment="1">
      <alignment vertical="top"/>
    </xf>
    <xf numFmtId="0" fontId="49" fillId="2" borderId="3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37" fontId="11" fillId="0" borderId="0" xfId="0" applyNumberFormat="1" applyFont="1" applyBorder="1" applyAlignment="1">
      <alignment vertical="top"/>
    </xf>
    <xf numFmtId="0" fontId="49" fillId="2" borderId="3" xfId="0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left" vertical="top" indent="1"/>
    </xf>
    <xf numFmtId="0" fontId="55" fillId="0" borderId="0" xfId="0" applyFont="1" applyBorder="1" applyAlignment="1">
      <alignment vertical="top"/>
    </xf>
    <xf numFmtId="0" fontId="0" fillId="0" borderId="6" xfId="0" quotePrefix="1" applyBorder="1" applyAlignment="1">
      <alignment vertical="top"/>
    </xf>
    <xf numFmtId="0" fontId="5" fillId="0" borderId="6" xfId="0" applyFont="1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0" fontId="12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vertical="top" wrapText="1"/>
    </xf>
    <xf numFmtId="0" fontId="12" fillId="0" borderId="6" xfId="0" quotePrefix="1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41" fontId="26" fillId="0" borderId="0" xfId="2" applyFont="1" applyBorder="1" applyAlignment="1">
      <alignment vertical="top"/>
    </xf>
    <xf numFmtId="0" fontId="53" fillId="0" borderId="0" xfId="0" applyFont="1" applyAlignment="1">
      <alignment vertical="top"/>
    </xf>
    <xf numFmtId="41" fontId="26" fillId="0" borderId="9" xfId="1" applyNumberFormat="1" applyFont="1" applyBorder="1" applyAlignment="1">
      <alignment vertical="top"/>
    </xf>
    <xf numFmtId="41" fontId="26" fillId="0" borderId="12" xfId="1" applyNumberFormat="1" applyFont="1" applyBorder="1" applyAlignment="1">
      <alignment vertical="top"/>
    </xf>
    <xf numFmtId="41" fontId="26" fillId="0" borderId="6" xfId="1" applyNumberFormat="1" applyFont="1" applyBorder="1" applyAlignment="1">
      <alignment vertical="top"/>
    </xf>
    <xf numFmtId="0" fontId="6" fillId="0" borderId="15" xfId="0" applyFont="1" applyBorder="1" applyAlignment="1">
      <alignment vertical="top" wrapText="1"/>
    </xf>
    <xf numFmtId="0" fontId="0" fillId="0" borderId="35" xfId="0" applyBorder="1" applyAlignment="1">
      <alignment horizontal="center" vertical="top"/>
    </xf>
    <xf numFmtId="0" fontId="12" fillId="0" borderId="17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6" xfId="0" quotePrefix="1" applyFont="1" applyBorder="1" applyAlignment="1">
      <alignment horizontal="center" vertical="top"/>
    </xf>
    <xf numFmtId="41" fontId="0" fillId="0" borderId="6" xfId="0" applyNumberFormat="1" applyFill="1" applyBorder="1" applyAlignment="1">
      <alignment vertical="top"/>
    </xf>
    <xf numFmtId="41" fontId="21" fillId="0" borderId="15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top"/>
    </xf>
    <xf numFmtId="0" fontId="29" fillId="0" borderId="17" xfId="0" applyFont="1" applyBorder="1" applyAlignment="1">
      <alignment vertical="top"/>
    </xf>
    <xf numFmtId="41" fontId="10" fillId="0" borderId="0" xfId="1" applyNumberFormat="1" applyFont="1" applyBorder="1" applyAlignment="1">
      <alignment horizontal="center" vertical="top"/>
    </xf>
    <xf numFmtId="0" fontId="56" fillId="0" borderId="15" xfId="0" applyFont="1" applyBorder="1" applyAlignment="1">
      <alignment horizontal="left" vertical="top" wrapText="1" indent="1"/>
    </xf>
    <xf numFmtId="41" fontId="43" fillId="0" borderId="6" xfId="2" applyFont="1" applyFill="1" applyBorder="1" applyAlignment="1">
      <alignment horizontal="center" vertical="center" wrapText="1"/>
    </xf>
    <xf numFmtId="37" fontId="12" fillId="4" borderId="15" xfId="0" applyNumberFormat="1" applyFont="1" applyFill="1" applyBorder="1" applyAlignment="1">
      <alignment horizontal="center" vertical="top" wrapText="1"/>
    </xf>
    <xf numFmtId="37" fontId="11" fillId="4" borderId="15" xfId="0" applyNumberFormat="1" applyFont="1" applyFill="1" applyBorder="1" applyAlignment="1">
      <alignment vertical="top"/>
    </xf>
    <xf numFmtId="37" fontId="12" fillId="4" borderId="0" xfId="0" applyNumberFormat="1" applyFont="1" applyFill="1" applyAlignment="1">
      <alignment vertical="top"/>
    </xf>
    <xf numFmtId="37" fontId="7" fillId="4" borderId="9" xfId="0" applyNumberFormat="1" applyFont="1" applyFill="1" applyBorder="1" applyAlignment="1">
      <alignment vertical="top" wrapText="1"/>
    </xf>
    <xf numFmtId="37" fontId="12" fillId="4" borderId="9" xfId="0" applyNumberFormat="1" applyFont="1" applyFill="1" applyBorder="1" applyAlignment="1">
      <alignment vertical="top"/>
    </xf>
    <xf numFmtId="41" fontId="12" fillId="4" borderId="9" xfId="2" applyFont="1" applyFill="1" applyBorder="1" applyAlignment="1">
      <alignment vertical="top" wrapText="1"/>
    </xf>
    <xf numFmtId="37" fontId="7" fillId="4" borderId="15" xfId="0" applyNumberFormat="1" applyFont="1" applyFill="1" applyBorder="1" applyAlignment="1">
      <alignment vertical="top" wrapText="1"/>
    </xf>
    <xf numFmtId="41" fontId="12" fillId="4" borderId="6" xfId="2" applyFont="1" applyFill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41" fontId="39" fillId="0" borderId="6" xfId="2" applyFont="1" applyBorder="1" applyAlignment="1">
      <alignment horizontal="left" vertical="top" wrapText="1"/>
    </xf>
    <xf numFmtId="41" fontId="39" fillId="0" borderId="6" xfId="2" applyFont="1" applyBorder="1" applyAlignment="1">
      <alignment horizontal="right" vertical="top" wrapText="1"/>
    </xf>
    <xf numFmtId="14" fontId="39" fillId="0" borderId="6" xfId="2" applyNumberFormat="1" applyFont="1" applyBorder="1" applyAlignment="1">
      <alignment horizontal="right" vertical="top" wrapText="1"/>
    </xf>
    <xf numFmtId="41" fontId="0" fillId="0" borderId="6" xfId="0" applyNumberFormat="1" applyBorder="1" applyAlignment="1">
      <alignment horizontal="left" vertical="center"/>
    </xf>
    <xf numFmtId="41" fontId="39" fillId="0" borderId="16" xfId="2" quotePrefix="1" applyFont="1" applyFill="1" applyBorder="1" applyAlignment="1">
      <alignment horizontal="center" vertical="top"/>
    </xf>
    <xf numFmtId="41" fontId="39" fillId="0" borderId="16" xfId="2" applyFont="1" applyFill="1" applyBorder="1" applyAlignment="1">
      <alignment horizontal="center" vertical="top" wrapText="1"/>
    </xf>
    <xf numFmtId="14" fontId="5" fillId="0" borderId="9" xfId="2" quotePrefix="1" applyNumberFormat="1" applyFont="1" applyFill="1" applyBorder="1" applyAlignment="1">
      <alignment vertical="top"/>
    </xf>
    <xf numFmtId="14" fontId="5" fillId="0" borderId="9" xfId="2" quotePrefix="1" applyNumberFormat="1" applyFont="1" applyFill="1" applyBorder="1" applyAlignment="1">
      <alignment horizontal="center" vertical="top"/>
    </xf>
    <xf numFmtId="43" fontId="11" fillId="2" borderId="3" xfId="1" applyNumberFormat="1" applyFont="1" applyFill="1" applyBorder="1" applyAlignment="1">
      <alignment vertical="top"/>
    </xf>
    <xf numFmtId="2" fontId="0" fillId="0" borderId="0" xfId="0" applyNumberFormat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36" fillId="0" borderId="9" xfId="0" applyFont="1" applyBorder="1" applyAlignment="1">
      <alignment vertical="top" wrapText="1"/>
    </xf>
    <xf numFmtId="43" fontId="2" fillId="0" borderId="9" xfId="0" applyNumberFormat="1" applyFont="1" applyBorder="1" applyAlignment="1">
      <alignment vertical="top"/>
    </xf>
    <xf numFmtId="37" fontId="26" fillId="0" borderId="0" xfId="0" applyNumberFormat="1" applyFont="1" applyAlignment="1">
      <alignment vertical="top"/>
    </xf>
    <xf numFmtId="37" fontId="57" fillId="0" borderId="9" xfId="0" applyNumberFormat="1" applyFont="1" applyBorder="1" applyAlignment="1">
      <alignment vertical="top" wrapText="1"/>
    </xf>
    <xf numFmtId="37" fontId="26" fillId="0" borderId="9" xfId="0" applyNumberFormat="1" applyFont="1" applyBorder="1" applyAlignment="1">
      <alignment vertical="top"/>
    </xf>
    <xf numFmtId="37" fontId="48" fillId="0" borderId="9" xfId="0" applyNumberFormat="1" applyFont="1" applyBorder="1" applyAlignment="1">
      <alignment vertical="top"/>
    </xf>
    <xf numFmtId="0" fontId="3" fillId="0" borderId="16" xfId="0" applyFont="1" applyBorder="1" applyAlignment="1"/>
    <xf numFmtId="41" fontId="5" fillId="0" borderId="16" xfId="1" quotePrefix="1" applyNumberFormat="1" applyFont="1" applyBorder="1" applyAlignment="1">
      <alignment vertical="top" wrapText="1"/>
    </xf>
    <xf numFmtId="37" fontId="5" fillId="0" borderId="17" xfId="0" applyNumberFormat="1" applyFont="1" applyBorder="1" applyAlignment="1">
      <alignment vertical="top" wrapText="1"/>
    </xf>
    <xf numFmtId="37" fontId="5" fillId="0" borderId="13" xfId="0" applyNumberFormat="1" applyFont="1" applyBorder="1" applyAlignment="1">
      <alignment vertical="top" wrapText="1"/>
    </xf>
    <xf numFmtId="41" fontId="5" fillId="0" borderId="0" xfId="1" applyNumberFormat="1" applyFont="1" applyBorder="1" applyAlignment="1">
      <alignment vertical="top" wrapText="1"/>
    </xf>
    <xf numFmtId="1" fontId="46" fillId="4" borderId="6" xfId="2" applyNumberFormat="1" applyFont="1" applyFill="1" applyBorder="1" applyAlignment="1">
      <alignment horizontal="center" vertical="center"/>
    </xf>
    <xf numFmtId="37" fontId="5" fillId="0" borderId="34" xfId="0" applyNumberFormat="1" applyFont="1" applyBorder="1" applyAlignment="1">
      <alignment vertical="top" wrapText="1"/>
    </xf>
    <xf numFmtId="37" fontId="5" fillId="0" borderId="34" xfId="0" applyNumberFormat="1" applyFont="1" applyBorder="1" applyAlignment="1">
      <alignment horizontal="center" vertical="top" wrapText="1"/>
    </xf>
    <xf numFmtId="37" fontId="5" fillId="0" borderId="24" xfId="0" applyNumberFormat="1" applyFont="1" applyBorder="1" applyAlignment="1">
      <alignment vertical="top" wrapText="1"/>
    </xf>
    <xf numFmtId="41" fontId="5" fillId="0" borderId="23" xfId="1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37" fontId="0" fillId="0" borderId="13" xfId="1" applyNumberFormat="1" applyFont="1" applyBorder="1" applyAlignment="1">
      <alignment vertical="top"/>
    </xf>
    <xf numFmtId="0" fontId="14" fillId="0" borderId="12" xfId="0" quotePrefix="1" applyFont="1" applyBorder="1" applyAlignment="1">
      <alignment vertical="top" wrapText="1"/>
    </xf>
    <xf numFmtId="0" fontId="11" fillId="0" borderId="1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3" fontId="11" fillId="0" borderId="6" xfId="1" applyFont="1" applyBorder="1" applyAlignment="1">
      <alignment vertical="center"/>
    </xf>
    <xf numFmtId="0" fontId="21" fillId="0" borderId="37" xfId="0" applyFont="1" applyBorder="1" applyAlignment="1">
      <alignment vertical="top"/>
    </xf>
    <xf numFmtId="0" fontId="44" fillId="0" borderId="10" xfId="0" applyFont="1" applyBorder="1" applyAlignment="1">
      <alignment vertical="top" wrapText="1"/>
    </xf>
    <xf numFmtId="164" fontId="2" fillId="0" borderId="9" xfId="1" applyNumberFormat="1" applyFont="1" applyBorder="1" applyAlignment="1">
      <alignment vertical="top"/>
    </xf>
    <xf numFmtId="0" fontId="40" fillId="0" borderId="9" xfId="0" applyFont="1" applyBorder="1" applyAlignment="1">
      <alignment vertical="top"/>
    </xf>
    <xf numFmtId="41" fontId="10" fillId="0" borderId="0" xfId="1" applyNumberFormat="1" applyFont="1" applyBorder="1" applyAlignment="1">
      <alignment vertical="top"/>
    </xf>
    <xf numFmtId="41" fontId="10" fillId="0" borderId="21" xfId="1" applyNumberFormat="1" applyFont="1" applyBorder="1" applyAlignment="1">
      <alignment vertical="top"/>
    </xf>
    <xf numFmtId="164" fontId="11" fillId="0" borderId="9" xfId="1" applyNumberFormat="1" applyFont="1" applyBorder="1" applyAlignment="1">
      <alignment vertical="top"/>
    </xf>
    <xf numFmtId="164" fontId="12" fillId="0" borderId="9" xfId="1" applyNumberFormat="1" applyFont="1" applyBorder="1" applyAlignment="1">
      <alignment vertical="top"/>
    </xf>
    <xf numFmtId="41" fontId="0" fillId="0" borderId="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56" fillId="0" borderId="15" xfId="0" applyFont="1" applyBorder="1" applyAlignment="1">
      <alignment vertical="top" wrapText="1"/>
    </xf>
    <xf numFmtId="0" fontId="10" fillId="0" borderId="0" xfId="0" quotePrefix="1" applyFont="1" applyAlignment="1">
      <alignment horizontal="left" vertical="top"/>
    </xf>
    <xf numFmtId="41" fontId="12" fillId="0" borderId="13" xfId="2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top"/>
    </xf>
    <xf numFmtId="1" fontId="0" fillId="0" borderId="13" xfId="0" applyNumberFormat="1" applyBorder="1" applyAlignment="1">
      <alignment horizontal="center" vertical="top"/>
    </xf>
    <xf numFmtId="43" fontId="5" fillId="0" borderId="1" xfId="1" applyFont="1" applyBorder="1" applyAlignment="1">
      <alignment vertical="top"/>
    </xf>
    <xf numFmtId="43" fontId="11" fillId="0" borderId="9" xfId="2" applyNumberFormat="1" applyFont="1" applyBorder="1" applyAlignment="1">
      <alignment vertical="top" wrapText="1"/>
    </xf>
    <xf numFmtId="39" fontId="2" fillId="0" borderId="9" xfId="1" applyNumberFormat="1" applyFont="1" applyBorder="1" applyAlignment="1">
      <alignment vertical="top"/>
    </xf>
    <xf numFmtId="37" fontId="11" fillId="0" borderId="9" xfId="1" applyNumberFormat="1" applyFont="1" applyBorder="1" applyAlignment="1">
      <alignment vertical="top"/>
    </xf>
    <xf numFmtId="0" fontId="0" fillId="0" borderId="9" xfId="0" applyNumberFormat="1" applyFont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11" fillId="2" borderId="20" xfId="0" applyFont="1" applyFill="1" applyBorder="1" applyAlignment="1">
      <alignment vertical="center"/>
    </xf>
    <xf numFmtId="0" fontId="11" fillId="2" borderId="29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37" fontId="11" fillId="2" borderId="2" xfId="0" applyNumberFormat="1" applyFont="1" applyFill="1" applyBorder="1" applyAlignment="1">
      <alignment vertical="center"/>
    </xf>
    <xf numFmtId="37" fontId="11" fillId="2" borderId="29" xfId="0" applyNumberFormat="1" applyFont="1" applyFill="1" applyBorder="1" applyAlignment="1">
      <alignment vertical="center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vertical="top"/>
    </xf>
    <xf numFmtId="2" fontId="11" fillId="2" borderId="2" xfId="0" applyNumberFormat="1" applyFont="1" applyFill="1" applyBorder="1" applyAlignment="1">
      <alignment horizontal="right" vertical="center"/>
    </xf>
    <xf numFmtId="41" fontId="11" fillId="2" borderId="2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2" fillId="3" borderId="2" xfId="0" applyFont="1" applyFill="1" applyBorder="1" applyAlignment="1">
      <alignment horizontal="center" vertical="top"/>
    </xf>
    <xf numFmtId="0" fontId="11" fillId="3" borderId="20" xfId="0" applyFont="1" applyFill="1" applyBorder="1" applyAlignment="1">
      <alignment vertical="center"/>
    </xf>
    <xf numFmtId="0" fontId="11" fillId="3" borderId="29" xfId="0" applyFont="1" applyFill="1" applyBorder="1" applyAlignment="1">
      <alignment vertical="center"/>
    </xf>
    <xf numFmtId="0" fontId="11" fillId="3" borderId="28" xfId="0" applyFont="1" applyFill="1" applyBorder="1" applyAlignment="1">
      <alignment vertical="center"/>
    </xf>
    <xf numFmtId="37" fontId="11" fillId="3" borderId="2" xfId="0" applyNumberFormat="1" applyFont="1" applyFill="1" applyBorder="1" applyAlignment="1">
      <alignment vertical="center"/>
    </xf>
    <xf numFmtId="0" fontId="0" fillId="3" borderId="2" xfId="0" applyFill="1" applyBorder="1" applyAlignment="1">
      <alignment horizontal="center" vertical="top"/>
    </xf>
    <xf numFmtId="0" fontId="0" fillId="3" borderId="2" xfId="0" applyFill="1" applyBorder="1" applyAlignment="1">
      <alignment vertical="top"/>
    </xf>
    <xf numFmtId="39" fontId="11" fillId="3" borderId="2" xfId="0" applyNumberFormat="1" applyFont="1" applyFill="1" applyBorder="1" applyAlignment="1">
      <alignment vertical="center"/>
    </xf>
    <xf numFmtId="0" fontId="58" fillId="0" borderId="9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39" fontId="11" fillId="0" borderId="15" xfId="0" applyNumberFormat="1" applyFont="1" applyBorder="1" applyAlignment="1">
      <alignment vertical="top"/>
    </xf>
    <xf numFmtId="41" fontId="11" fillId="0" borderId="15" xfId="1" applyNumberFormat="1" applyFont="1" applyBorder="1" applyAlignment="1">
      <alignment vertical="top"/>
    </xf>
    <xf numFmtId="41" fontId="0" fillId="0" borderId="15" xfId="0" applyNumberFormat="1" applyBorder="1" applyAlignment="1">
      <alignment horizontal="right" vertical="top" wrapText="1"/>
    </xf>
    <xf numFmtId="0" fontId="0" fillId="0" borderId="15" xfId="0" applyNumberFormat="1" applyBorder="1" applyAlignment="1">
      <alignment vertical="top"/>
    </xf>
    <xf numFmtId="43" fontId="11" fillId="0" borderId="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0" fontId="56" fillId="0" borderId="6" xfId="0" applyFont="1" applyBorder="1" applyAlignment="1">
      <alignment horizontal="left" vertical="top" wrapText="1" indent="1"/>
    </xf>
    <xf numFmtId="37" fontId="12" fillId="4" borderId="6" xfId="0" applyNumberFormat="1" applyFont="1" applyFill="1" applyBorder="1" applyAlignment="1">
      <alignment horizontal="center" vertical="top" wrapText="1"/>
    </xf>
    <xf numFmtId="37" fontId="0" fillId="0" borderId="6" xfId="0" applyNumberFormat="1" applyBorder="1" applyAlignment="1">
      <alignment vertical="top"/>
    </xf>
    <xf numFmtId="0" fontId="22" fillId="0" borderId="15" xfId="0" applyFont="1" applyBorder="1" applyAlignment="1">
      <alignment vertical="top"/>
    </xf>
    <xf numFmtId="2" fontId="0" fillId="0" borderId="15" xfId="1" applyNumberFormat="1" applyFont="1" applyBorder="1" applyAlignment="1">
      <alignment vertical="top"/>
    </xf>
    <xf numFmtId="0" fontId="10" fillId="0" borderId="23" xfId="0" applyFont="1" applyBorder="1" applyAlignment="1">
      <alignment horizontal="left" vertical="top"/>
    </xf>
    <xf numFmtId="41" fontId="18" fillId="0" borderId="23" xfId="2" applyFont="1" applyFill="1" applyBorder="1" applyAlignment="1">
      <alignment horizontal="right" vertical="center"/>
    </xf>
    <xf numFmtId="17" fontId="0" fillId="0" borderId="23" xfId="0" quotePrefix="1" applyNumberFormat="1" applyBorder="1" applyAlignment="1">
      <alignment vertical="top"/>
    </xf>
    <xf numFmtId="2" fontId="0" fillId="0" borderId="23" xfId="1" applyNumberFormat="1" applyFont="1" applyBorder="1" applyAlignment="1">
      <alignment vertical="top"/>
    </xf>
    <xf numFmtId="41" fontId="1" fillId="0" borderId="23" xfId="1" quotePrefix="1" applyNumberFormat="1" applyFont="1" applyBorder="1" applyAlignment="1">
      <alignment horizontal="center" vertical="top"/>
    </xf>
    <xf numFmtId="43" fontId="11" fillId="2" borderId="2" xfId="0" applyNumberFormat="1" applyFont="1" applyFill="1" applyBorder="1" applyAlignment="1">
      <alignment vertical="center"/>
    </xf>
    <xf numFmtId="41" fontId="11" fillId="2" borderId="2" xfId="0" applyNumberFormat="1" applyFont="1" applyFill="1" applyBorder="1" applyAlignment="1">
      <alignment vertical="center"/>
    </xf>
    <xf numFmtId="0" fontId="3" fillId="0" borderId="23" xfId="0" applyFont="1" applyFill="1" applyBorder="1" applyAlignment="1"/>
    <xf numFmtId="0" fontId="0" fillId="0" borderId="23" xfId="0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37" fontId="11" fillId="0" borderId="23" xfId="0" applyNumberFormat="1" applyFont="1" applyFill="1" applyBorder="1" applyAlignment="1">
      <alignment vertical="center"/>
    </xf>
    <xf numFmtId="43" fontId="11" fillId="0" borderId="23" xfId="0" applyNumberFormat="1" applyFont="1" applyFill="1" applyBorder="1" applyAlignment="1">
      <alignment vertical="center"/>
    </xf>
    <xf numFmtId="41" fontId="11" fillId="0" borderId="23" xfId="0" applyNumberFormat="1" applyFont="1" applyFill="1" applyBorder="1" applyAlignment="1">
      <alignment vertical="center"/>
    </xf>
    <xf numFmtId="0" fontId="3" fillId="5" borderId="0" xfId="0" applyFont="1" applyFill="1" applyAlignment="1"/>
    <xf numFmtId="0" fontId="0" fillId="5" borderId="7" xfId="0" applyFill="1" applyBorder="1" applyAlignment="1">
      <alignment horizontal="center" vertical="top"/>
    </xf>
    <xf numFmtId="0" fontId="0" fillId="5" borderId="26" xfId="0" applyFill="1" applyBorder="1" applyAlignment="1">
      <alignment vertical="top"/>
    </xf>
    <xf numFmtId="0" fontId="0" fillId="5" borderId="27" xfId="0" applyFill="1" applyBorder="1" applyAlignment="1">
      <alignment vertical="top"/>
    </xf>
    <xf numFmtId="0" fontId="22" fillId="5" borderId="1" xfId="0" applyFont="1" applyFill="1" applyBorder="1" applyAlignment="1">
      <alignment vertical="top"/>
    </xf>
    <xf numFmtId="0" fontId="22" fillId="5" borderId="27" xfId="0" applyFont="1" applyFill="1" applyBorder="1" applyAlignment="1">
      <alignment vertical="top"/>
    </xf>
    <xf numFmtId="37" fontId="11" fillId="5" borderId="7" xfId="0" applyNumberFormat="1" applyFont="1" applyFill="1" applyBorder="1" applyAlignment="1">
      <alignment vertical="center"/>
    </xf>
    <xf numFmtId="0" fontId="0" fillId="5" borderId="7" xfId="0" applyFill="1" applyBorder="1" applyAlignment="1">
      <alignment vertical="top"/>
    </xf>
    <xf numFmtId="41" fontId="50" fillId="5" borderId="7" xfId="0" applyNumberFormat="1" applyFont="1" applyFill="1" applyBorder="1" applyAlignment="1">
      <alignment vertical="top"/>
    </xf>
    <xf numFmtId="41" fontId="50" fillId="5" borderId="7" xfId="0" applyNumberFormat="1" applyFont="1" applyFill="1" applyBorder="1" applyAlignment="1">
      <alignment horizontal="center" vertical="top"/>
    </xf>
    <xf numFmtId="41" fontId="50" fillId="5" borderId="7" xfId="0" applyNumberFormat="1" applyFont="1" applyFill="1" applyBorder="1" applyAlignment="1">
      <alignment horizontal="center" vertical="center"/>
    </xf>
    <xf numFmtId="39" fontId="11" fillId="5" borderId="7" xfId="0" applyNumberFormat="1" applyFont="1" applyFill="1" applyBorder="1" applyAlignment="1">
      <alignment vertical="center"/>
    </xf>
    <xf numFmtId="39" fontId="51" fillId="5" borderId="7" xfId="0" applyNumberFormat="1" applyFont="1" applyFill="1" applyBorder="1" applyAlignment="1">
      <alignment vertical="center"/>
    </xf>
    <xf numFmtId="0" fontId="0" fillId="5" borderId="0" xfId="0" applyFill="1" applyAlignment="1">
      <alignment vertical="top"/>
    </xf>
    <xf numFmtId="41" fontId="4" fillId="2" borderId="3" xfId="0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vertical="center"/>
    </xf>
    <xf numFmtId="41" fontId="2" fillId="0" borderId="9" xfId="0" applyNumberFormat="1" applyFont="1" applyBorder="1" applyAlignment="1">
      <alignment horizontal="left" vertical="center"/>
    </xf>
    <xf numFmtId="41" fontId="53" fillId="0" borderId="0" xfId="0" applyNumberFormat="1" applyFont="1" applyBorder="1" applyAlignment="1">
      <alignment vertical="top"/>
    </xf>
    <xf numFmtId="41" fontId="0" fillId="0" borderId="23" xfId="0" applyNumberFormat="1" applyBorder="1" applyAlignment="1">
      <alignment vertical="top"/>
    </xf>
    <xf numFmtId="39" fontId="2" fillId="0" borderId="9" xfId="0" applyNumberFormat="1" applyFont="1" applyBorder="1" applyAlignment="1">
      <alignment vertical="top"/>
    </xf>
    <xf numFmtId="0" fontId="59" fillId="0" borderId="0" xfId="0" applyFont="1" applyBorder="1" applyAlignment="1">
      <alignment vertical="top"/>
    </xf>
    <xf numFmtId="41" fontId="60" fillId="0" borderId="0" xfId="0" applyNumberFormat="1" applyFont="1" applyBorder="1" applyAlignment="1">
      <alignment vertical="top"/>
    </xf>
    <xf numFmtId="41" fontId="11" fillId="0" borderId="15" xfId="1" applyNumberFormat="1" applyFont="1" applyBorder="1" applyAlignment="1">
      <alignment vertical="center"/>
    </xf>
    <xf numFmtId="164" fontId="0" fillId="0" borderId="12" xfId="0" applyNumberFormat="1" applyBorder="1" applyAlignment="1">
      <alignment vertical="top"/>
    </xf>
    <xf numFmtId="43" fontId="12" fillId="0" borderId="15" xfId="1" applyFont="1" applyBorder="1" applyAlignment="1">
      <alignment vertical="center"/>
    </xf>
    <xf numFmtId="1" fontId="11" fillId="3" borderId="3" xfId="0" applyNumberFormat="1" applyFont="1" applyFill="1" applyBorder="1" applyAlignment="1">
      <alignment horizontal="right" vertical="center"/>
    </xf>
    <xf numFmtId="41" fontId="11" fillId="3" borderId="3" xfId="1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2" fontId="12" fillId="0" borderId="6" xfId="0" applyNumberFormat="1" applyFont="1" applyFill="1" applyBorder="1" applyAlignment="1">
      <alignment vertical="center"/>
    </xf>
    <xf numFmtId="41" fontId="12" fillId="0" borderId="6" xfId="1" applyNumberFormat="1" applyFont="1" applyFill="1" applyBorder="1" applyAlignment="1">
      <alignment vertical="center"/>
    </xf>
    <xf numFmtId="41" fontId="54" fillId="5" borderId="4" xfId="1" applyNumberFormat="1" applyFont="1" applyFill="1" applyBorder="1" applyAlignment="1">
      <alignment vertical="top"/>
    </xf>
    <xf numFmtId="43" fontId="11" fillId="3" borderId="3" xfId="1" applyFont="1" applyFill="1" applyBorder="1" applyAlignment="1">
      <alignment vertical="center"/>
    </xf>
    <xf numFmtId="37" fontId="0" fillId="0" borderId="1" xfId="0" applyNumberFormat="1" applyBorder="1" applyAlignment="1">
      <alignment vertical="top"/>
    </xf>
    <xf numFmtId="43" fontId="12" fillId="0" borderId="9" xfId="1" applyFont="1" applyFill="1" applyBorder="1" applyAlignment="1">
      <alignment vertical="center"/>
    </xf>
    <xf numFmtId="41" fontId="12" fillId="0" borderId="9" xfId="1" applyNumberFormat="1" applyFont="1" applyFill="1" applyBorder="1" applyAlignment="1">
      <alignment vertical="center"/>
    </xf>
    <xf numFmtId="43" fontId="11" fillId="2" borderId="3" xfId="0" applyNumberFormat="1" applyFont="1" applyFill="1" applyBorder="1" applyAlignment="1">
      <alignment vertical="top"/>
    </xf>
    <xf numFmtId="41" fontId="0" fillId="0" borderId="7" xfId="1" applyNumberFormat="1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0" fillId="0" borderId="32" xfId="0" applyBorder="1"/>
    <xf numFmtId="0" fontId="0" fillId="0" borderId="5" xfId="0" applyBorder="1"/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 wrapText="1"/>
    </xf>
    <xf numFmtId="0" fontId="52" fillId="2" borderId="6" xfId="0" applyFont="1" applyFill="1" applyBorder="1" applyAlignment="1">
      <alignment horizontal="center" vertical="center" wrapText="1"/>
    </xf>
    <xf numFmtId="0" fontId="52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9" fillId="2" borderId="3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top" wrapText="1" indent="3"/>
    </xf>
    <xf numFmtId="0" fontId="9" fillId="2" borderId="5" xfId="0" applyFont="1" applyFill="1" applyBorder="1" applyAlignment="1">
      <alignment horizontal="left" vertical="top" wrapText="1" indent="3"/>
    </xf>
    <xf numFmtId="0" fontId="9" fillId="2" borderId="32" xfId="0" applyFont="1" applyFill="1" applyBorder="1" applyAlignment="1">
      <alignment horizontal="left" vertical="center" wrapText="1" indent="3"/>
    </xf>
    <xf numFmtId="0" fontId="9" fillId="2" borderId="5" xfId="0" applyFont="1" applyFill="1" applyBorder="1" applyAlignment="1">
      <alignment horizontal="left" vertical="center" wrapText="1" indent="3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top" wrapText="1" indent="3"/>
    </xf>
    <xf numFmtId="0" fontId="7" fillId="2" borderId="2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 indent="3"/>
    </xf>
    <xf numFmtId="0" fontId="9" fillId="2" borderId="33" xfId="0" applyFont="1" applyFill="1" applyBorder="1" applyAlignment="1">
      <alignment horizontal="left" vertical="center" wrapText="1" indent="3"/>
    </xf>
    <xf numFmtId="0" fontId="9" fillId="2" borderId="28" xfId="0" applyFont="1" applyFill="1" applyBorder="1" applyAlignment="1">
      <alignment horizontal="left" vertical="center" wrapText="1" indent="3"/>
    </xf>
    <xf numFmtId="0" fontId="9" fillId="2" borderId="29" xfId="0" applyFont="1" applyFill="1" applyBorder="1" applyAlignment="1">
      <alignment horizontal="left" vertical="center" wrapText="1" indent="3"/>
    </xf>
    <xf numFmtId="0" fontId="9" fillId="3" borderId="3" xfId="0" applyFont="1" applyFill="1" applyBorder="1" applyAlignment="1">
      <alignment horizontal="left" vertical="center" wrapText="1" indent="3"/>
    </xf>
    <xf numFmtId="0" fontId="9" fillId="3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 indent="3"/>
    </xf>
    <xf numFmtId="0" fontId="9" fillId="2" borderId="3" xfId="0" applyFont="1" applyFill="1" applyBorder="1" applyAlignment="1">
      <alignment horizontal="left" vertical="center" wrapText="1" indent="3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horizontal="left" vertical="top"/>
    </xf>
    <xf numFmtId="0" fontId="59" fillId="0" borderId="0" xfId="0" applyFont="1" applyBorder="1" applyAlignment="1">
      <alignment horizontal="left" vertical="top"/>
    </xf>
  </cellXfs>
  <cellStyles count="5">
    <cellStyle name="Comma" xfId="1" builtinId="3"/>
    <cellStyle name="Comma [0]" xfId="2" builtinId="6"/>
    <cellStyle name="Normal" xfId="0" builtinId="0"/>
    <cellStyle name="Normal_Desember" xfId="3"/>
    <cellStyle name="Normal_LAPBULANAN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532"/>
  <sheetViews>
    <sheetView tabSelected="1" topLeftCell="B1" workbookViewId="0">
      <pane xSplit="4" ySplit="7" topLeftCell="P2513" activePane="bottomRight" state="frozen"/>
      <selection activeCell="B1" sqref="B1"/>
      <selection pane="topRight" activeCell="F1" sqref="F1"/>
      <selection pane="bottomLeft" activeCell="B8" sqref="B8"/>
      <selection pane="bottomRight" activeCell="AD2514" sqref="AD2514"/>
    </sheetView>
  </sheetViews>
  <sheetFormatPr defaultRowHeight="15"/>
  <cols>
    <col min="1" max="1" width="0.42578125" style="1" hidden="1" customWidth="1"/>
    <col min="2" max="2" width="3.7109375" style="274" customWidth="1"/>
    <col min="3" max="3" width="7.85546875" style="2" customWidth="1"/>
    <col min="4" max="4" width="36.42578125" style="286" customWidth="1"/>
    <col min="5" max="5" width="6.7109375" style="2" customWidth="1"/>
    <col min="6" max="6" width="5.28515625" style="2" customWidth="1"/>
    <col min="7" max="7" width="6.5703125" style="2" customWidth="1"/>
    <col min="8" max="8" width="2.28515625" style="2" customWidth="1"/>
    <col min="9" max="9" width="6.85546875" style="2" customWidth="1"/>
    <col min="10" max="10" width="15.5703125" style="2" customWidth="1"/>
    <col min="11" max="11" width="15.7109375" style="2" customWidth="1"/>
    <col min="12" max="12" width="7.7109375" style="2" customWidth="1"/>
    <col min="13" max="13" width="14.85546875" style="2" customWidth="1"/>
    <col min="14" max="14" width="7" style="2" customWidth="1"/>
    <col min="15" max="15" width="7.28515625" style="2" customWidth="1"/>
    <col min="16" max="16" width="8.28515625" style="2" customWidth="1"/>
    <col min="17" max="17" width="6.85546875" style="2" customWidth="1"/>
    <col min="18" max="18" width="5.7109375" style="2" customWidth="1"/>
    <col min="19" max="19" width="6.7109375" style="2" customWidth="1"/>
    <col min="20" max="20" width="7.42578125" style="2" customWidth="1"/>
    <col min="21" max="21" width="7.140625" style="2" customWidth="1"/>
    <col min="22" max="22" width="5.7109375" style="2" customWidth="1"/>
    <col min="23" max="23" width="6.28515625" style="2" customWidth="1"/>
    <col min="24" max="24" width="5" style="2" customWidth="1"/>
    <col min="25" max="25" width="7.85546875" style="274" customWidth="1"/>
    <col min="26" max="26" width="7.7109375" style="2" customWidth="1"/>
    <col min="27" max="27" width="16.140625" style="2" customWidth="1"/>
    <col min="28" max="28" width="9.140625" style="2" customWidth="1"/>
    <col min="29" max="29" width="17.5703125" style="2" customWidth="1"/>
    <col min="30" max="30" width="8" style="2" customWidth="1"/>
    <col min="31" max="31" width="3" style="2" customWidth="1"/>
    <col min="32" max="32" width="8" style="2" customWidth="1"/>
    <col min="33" max="33" width="16.7109375" style="2" customWidth="1"/>
    <col min="34" max="34" width="8" style="2" customWidth="1"/>
    <col min="35" max="35" width="16.140625" style="2" customWidth="1"/>
    <col min="36" max="36" width="7.7109375" style="2" customWidth="1"/>
    <col min="37" max="37" width="4.85546875" style="2" customWidth="1"/>
    <col min="38" max="16384" width="9.140625" style="2"/>
  </cols>
  <sheetData>
    <row r="1" spans="2:38" ht="16.5">
      <c r="B1" s="877" t="s">
        <v>1473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293"/>
      <c r="AG1" s="293"/>
      <c r="AH1" s="293"/>
      <c r="AI1" s="293"/>
      <c r="AJ1" s="293"/>
      <c r="AK1" s="293"/>
    </row>
    <row r="2" spans="2:38" ht="16.5">
      <c r="B2" s="877" t="s">
        <v>0</v>
      </c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293"/>
      <c r="AG2" s="293"/>
      <c r="AH2" s="293"/>
      <c r="AI2" s="293"/>
      <c r="AJ2" s="293"/>
      <c r="AK2" s="293"/>
    </row>
    <row r="3" spans="2:38" ht="16.5">
      <c r="B3" s="877" t="s">
        <v>2395</v>
      </c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7"/>
      <c r="AE3" s="877"/>
      <c r="AF3" s="293"/>
      <c r="AG3" s="293"/>
      <c r="AH3" s="293"/>
      <c r="AI3" s="293"/>
      <c r="AJ3" s="293"/>
      <c r="AK3" s="293"/>
    </row>
    <row r="4" spans="2:38">
      <c r="B4" s="3"/>
      <c r="C4" s="4"/>
      <c r="D4" s="5"/>
      <c r="E4" s="4"/>
      <c r="F4" s="4" t="s">
        <v>1</v>
      </c>
      <c r="G4" s="4" t="s">
        <v>1</v>
      </c>
      <c r="H4" s="4"/>
      <c r="I4" s="4"/>
      <c r="J4" s="756" t="s">
        <v>1</v>
      </c>
      <c r="K4" s="639"/>
      <c r="L4" s="4" t="s">
        <v>1</v>
      </c>
      <c r="M4" s="4" t="s">
        <v>1</v>
      </c>
      <c r="N4" s="4"/>
      <c r="O4" s="4"/>
      <c r="P4" s="4" t="s">
        <v>1</v>
      </c>
      <c r="Q4" s="4"/>
      <c r="R4" s="4"/>
      <c r="S4" s="4"/>
      <c r="T4" s="4"/>
      <c r="U4" s="4" t="s">
        <v>1</v>
      </c>
      <c r="V4" s="4" t="s">
        <v>1</v>
      </c>
      <c r="W4" s="4" t="s">
        <v>1</v>
      </c>
      <c r="X4" s="4" t="s">
        <v>1</v>
      </c>
      <c r="Y4" s="3" t="s">
        <v>1</v>
      </c>
      <c r="Z4" s="4" t="s">
        <v>1</v>
      </c>
      <c r="AA4" s="842"/>
      <c r="AB4" s="4" t="s">
        <v>1</v>
      </c>
      <c r="AC4" s="836"/>
      <c r="AD4" s="4" t="s">
        <v>1</v>
      </c>
      <c r="AE4" s="292" t="s">
        <v>1</v>
      </c>
      <c r="AF4" s="292" t="s">
        <v>1</v>
      </c>
      <c r="AG4" s="6" t="s">
        <v>1</v>
      </c>
      <c r="AH4" s="4"/>
      <c r="AI4" s="4"/>
      <c r="AJ4" s="4"/>
      <c r="AK4" s="4" t="s">
        <v>1</v>
      </c>
      <c r="AL4" s="2" t="s">
        <v>1</v>
      </c>
    </row>
    <row r="5" spans="2:38" ht="15" customHeight="1">
      <c r="B5" s="852" t="s">
        <v>2</v>
      </c>
      <c r="C5" s="854" t="s">
        <v>3</v>
      </c>
      <c r="D5" s="867" t="s">
        <v>4</v>
      </c>
      <c r="E5" s="870" t="s">
        <v>5</v>
      </c>
      <c r="F5" s="856" t="s">
        <v>2371</v>
      </c>
      <c r="G5" s="857"/>
      <c r="H5" s="862" t="s">
        <v>1471</v>
      </c>
      <c r="I5" s="857"/>
      <c r="J5" s="847" t="s">
        <v>6</v>
      </c>
      <c r="K5" s="873"/>
      <c r="L5" s="852" t="s">
        <v>7</v>
      </c>
      <c r="M5" s="874" t="s">
        <v>8</v>
      </c>
      <c r="N5" s="854" t="s">
        <v>9</v>
      </c>
      <c r="O5" s="854"/>
      <c r="P5" s="854"/>
      <c r="Q5" s="854"/>
      <c r="R5" s="887" t="s">
        <v>1452</v>
      </c>
      <c r="S5" s="888"/>
      <c r="T5" s="887" t="s">
        <v>1453</v>
      </c>
      <c r="U5" s="891"/>
      <c r="V5" s="891"/>
      <c r="W5" s="891"/>
      <c r="X5" s="888"/>
      <c r="Y5" s="855" t="s">
        <v>10</v>
      </c>
      <c r="Z5" s="855" t="s">
        <v>11</v>
      </c>
      <c r="AA5" s="854" t="s">
        <v>12</v>
      </c>
      <c r="AB5" s="854"/>
      <c r="AC5" s="854" t="s">
        <v>13</v>
      </c>
      <c r="AD5" s="854"/>
      <c r="AE5" s="347"/>
    </row>
    <row r="6" spans="2:38">
      <c r="B6" s="866"/>
      <c r="C6" s="854"/>
      <c r="D6" s="868"/>
      <c r="E6" s="871"/>
      <c r="F6" s="858"/>
      <c r="G6" s="859"/>
      <c r="H6" s="863"/>
      <c r="I6" s="859"/>
      <c r="J6" s="852" t="s">
        <v>14</v>
      </c>
      <c r="K6" s="852" t="s">
        <v>15</v>
      </c>
      <c r="L6" s="866"/>
      <c r="M6" s="875"/>
      <c r="N6" s="852" t="s">
        <v>16</v>
      </c>
      <c r="O6" s="847" t="s">
        <v>17</v>
      </c>
      <c r="P6" s="848"/>
      <c r="Q6" s="849"/>
      <c r="R6" s="889"/>
      <c r="S6" s="890"/>
      <c r="T6" s="889"/>
      <c r="U6" s="892"/>
      <c r="V6" s="892"/>
      <c r="W6" s="892"/>
      <c r="X6" s="890"/>
      <c r="Y6" s="855"/>
      <c r="Z6" s="855"/>
      <c r="AA6" s="850" t="s">
        <v>18</v>
      </c>
      <c r="AB6" s="852" t="s">
        <v>19</v>
      </c>
      <c r="AC6" s="852" t="s">
        <v>18</v>
      </c>
      <c r="AD6" s="852">
        <v>100</v>
      </c>
    </row>
    <row r="7" spans="2:38" ht="57" customHeight="1">
      <c r="B7" s="853"/>
      <c r="C7" s="854"/>
      <c r="D7" s="869"/>
      <c r="E7" s="872"/>
      <c r="F7" s="860"/>
      <c r="G7" s="861"/>
      <c r="H7" s="864"/>
      <c r="I7" s="865"/>
      <c r="J7" s="853"/>
      <c r="K7" s="853"/>
      <c r="L7" s="853"/>
      <c r="M7" s="876"/>
      <c r="N7" s="853"/>
      <c r="O7" s="294" t="s">
        <v>20</v>
      </c>
      <c r="P7" s="464" t="s">
        <v>21</v>
      </c>
      <c r="Q7" s="294" t="s">
        <v>22</v>
      </c>
      <c r="R7" s="667" t="s">
        <v>1846</v>
      </c>
      <c r="S7" s="667" t="s">
        <v>1454</v>
      </c>
      <c r="T7" s="649" t="s">
        <v>1455</v>
      </c>
      <c r="U7" s="663" t="s">
        <v>1456</v>
      </c>
      <c r="V7" s="663" t="s">
        <v>1457</v>
      </c>
      <c r="W7" s="663" t="s">
        <v>1470</v>
      </c>
      <c r="X7" s="663" t="s">
        <v>2062</v>
      </c>
      <c r="Y7" s="855"/>
      <c r="Z7" s="855"/>
      <c r="AA7" s="851"/>
      <c r="AB7" s="853"/>
      <c r="AC7" s="853"/>
      <c r="AD7" s="853"/>
    </row>
    <row r="8" spans="2:38">
      <c r="B8" s="7">
        <v>1</v>
      </c>
      <c r="C8" s="8" t="s">
        <v>23</v>
      </c>
      <c r="D8" s="9" t="s">
        <v>24</v>
      </c>
      <c r="E8" s="506"/>
      <c r="F8" s="525"/>
      <c r="G8" s="520"/>
      <c r="H8" s="572">
        <v>2</v>
      </c>
      <c r="I8" s="519" t="s">
        <v>1464</v>
      </c>
      <c r="J8" s="11"/>
      <c r="K8" s="12"/>
      <c r="L8" s="296"/>
      <c r="M8" s="10"/>
      <c r="N8" s="10"/>
      <c r="O8" s="10"/>
      <c r="P8" s="10"/>
      <c r="Q8" s="10"/>
      <c r="R8" s="10"/>
      <c r="S8" s="296" t="s">
        <v>1458</v>
      </c>
      <c r="T8" s="518" t="s">
        <v>1459</v>
      </c>
      <c r="U8" s="518" t="s">
        <v>1459</v>
      </c>
      <c r="V8" s="518" t="s">
        <v>1459</v>
      </c>
      <c r="W8" s="518" t="s">
        <v>1459</v>
      </c>
      <c r="X8" s="518"/>
      <c r="Y8" s="10"/>
      <c r="Z8" s="10"/>
      <c r="AA8" s="10"/>
      <c r="AB8" s="10"/>
      <c r="AC8" s="10"/>
      <c r="AD8" s="10"/>
    </row>
    <row r="9" spans="2:38" ht="25.5">
      <c r="B9" s="13"/>
      <c r="C9" s="14" t="s">
        <v>25</v>
      </c>
      <c r="D9" s="14" t="s">
        <v>26</v>
      </c>
      <c r="E9" s="482"/>
      <c r="F9" s="524"/>
      <c r="G9" s="471"/>
      <c r="H9" s="573"/>
      <c r="I9" s="471"/>
      <c r="J9" s="15"/>
      <c r="K9" s="16"/>
      <c r="L9" s="13"/>
      <c r="M9" s="17"/>
      <c r="N9" s="17"/>
      <c r="O9" s="18"/>
      <c r="P9" s="18"/>
      <c r="Q9" s="17"/>
      <c r="R9" s="17"/>
      <c r="S9" s="17"/>
      <c r="T9" s="17"/>
      <c r="U9" s="17"/>
      <c r="V9" s="17"/>
      <c r="W9" s="17"/>
      <c r="X9" s="17"/>
      <c r="Y9" s="19"/>
      <c r="Z9" s="19"/>
      <c r="AA9" s="20"/>
      <c r="AB9" s="20"/>
      <c r="AC9" s="20"/>
      <c r="AD9" s="20"/>
    </row>
    <row r="10" spans="2:38">
      <c r="B10" s="13">
        <f>B9+1</f>
        <v>1</v>
      </c>
      <c r="C10" s="21" t="s">
        <v>27</v>
      </c>
      <c r="D10" s="21" t="s">
        <v>28</v>
      </c>
      <c r="E10" s="482"/>
      <c r="F10" s="523">
        <v>1</v>
      </c>
      <c r="G10" s="471" t="s">
        <v>1845</v>
      </c>
      <c r="H10" s="650">
        <v>0</v>
      </c>
      <c r="I10" s="471" t="s">
        <v>1845</v>
      </c>
      <c r="J10" s="15">
        <v>410622000</v>
      </c>
      <c r="K10" s="99">
        <v>873602000</v>
      </c>
      <c r="L10" s="13"/>
      <c r="M10" s="17"/>
      <c r="N10" s="17"/>
      <c r="O10" s="18"/>
      <c r="P10" s="18"/>
      <c r="Q10" s="17"/>
      <c r="R10" s="17"/>
      <c r="S10" s="17"/>
      <c r="T10" s="17"/>
      <c r="U10" s="17"/>
      <c r="V10" s="17"/>
      <c r="W10" s="17"/>
      <c r="X10" s="17"/>
      <c r="Y10" s="466">
        <v>100</v>
      </c>
      <c r="Z10" s="466">
        <v>100</v>
      </c>
      <c r="AA10" s="20">
        <v>574701469</v>
      </c>
      <c r="AB10" s="19">
        <f>AA10/K10*100</f>
        <v>65.785273957706139</v>
      </c>
      <c r="AC10" s="20">
        <f t="shared" ref="AC10:AC116" si="0">AA10</f>
        <v>574701469</v>
      </c>
      <c r="AD10" s="19">
        <f>AC10/K10*100</f>
        <v>65.785273957706139</v>
      </c>
    </row>
    <row r="11" spans="2:38">
      <c r="B11" s="13">
        <f t="shared" ref="B11:B111" si="1">B10+1</f>
        <v>2</v>
      </c>
      <c r="C11" s="21" t="s">
        <v>29</v>
      </c>
      <c r="D11" s="21" t="s">
        <v>30</v>
      </c>
      <c r="E11" s="482"/>
      <c r="F11" s="523">
        <v>1</v>
      </c>
      <c r="G11" s="471" t="s">
        <v>1845</v>
      </c>
      <c r="H11" s="650">
        <v>0</v>
      </c>
      <c r="I11" s="471" t="s">
        <v>1845</v>
      </c>
      <c r="J11" s="15">
        <v>245140000</v>
      </c>
      <c r="K11" s="99">
        <v>245140000</v>
      </c>
      <c r="L11" s="13"/>
      <c r="M11" s="17"/>
      <c r="N11" s="17"/>
      <c r="O11" s="18"/>
      <c r="P11" s="18"/>
      <c r="Q11" s="17"/>
      <c r="R11" s="17"/>
      <c r="S11" s="17"/>
      <c r="T11" s="17"/>
      <c r="U11" s="17"/>
      <c r="V11" s="17"/>
      <c r="W11" s="17"/>
      <c r="X11" s="17"/>
      <c r="Y11" s="466">
        <v>100</v>
      </c>
      <c r="Z11" s="466">
        <v>100</v>
      </c>
      <c r="AA11" s="20">
        <v>245077492</v>
      </c>
      <c r="AB11" s="19">
        <f t="shared" ref="AB11:AB15" si="2">AA11/K11*100</f>
        <v>99.974501101411434</v>
      </c>
      <c r="AC11" s="20">
        <f t="shared" si="0"/>
        <v>245077492</v>
      </c>
      <c r="AD11" s="19">
        <f t="shared" ref="AD11:AD74" si="3">AC11/K11*100</f>
        <v>99.974501101411434</v>
      </c>
    </row>
    <row r="12" spans="2:38">
      <c r="B12" s="13">
        <f t="shared" si="1"/>
        <v>3</v>
      </c>
      <c r="C12" s="21" t="s">
        <v>31</v>
      </c>
      <c r="D12" s="21" t="s">
        <v>32</v>
      </c>
      <c r="E12" s="482"/>
      <c r="F12" s="523">
        <v>1</v>
      </c>
      <c r="G12" s="471" t="s">
        <v>1845</v>
      </c>
      <c r="H12" s="650">
        <v>0</v>
      </c>
      <c r="I12" s="471" t="s">
        <v>1845</v>
      </c>
      <c r="J12" s="15">
        <v>428840000</v>
      </c>
      <c r="K12" s="99">
        <v>438869000</v>
      </c>
      <c r="L12" s="13"/>
      <c r="M12" s="17"/>
      <c r="N12" s="17"/>
      <c r="O12" s="18"/>
      <c r="P12" s="17"/>
      <c r="Q12" s="17"/>
      <c r="R12" s="17"/>
      <c r="S12" s="17"/>
      <c r="T12" s="17"/>
      <c r="U12" s="17"/>
      <c r="V12" s="17"/>
      <c r="W12" s="17"/>
      <c r="X12" s="17"/>
      <c r="Y12" s="466">
        <v>100</v>
      </c>
      <c r="Z12" s="466">
        <v>100</v>
      </c>
      <c r="AA12" s="467">
        <v>309817429</v>
      </c>
      <c r="AB12" s="19">
        <f t="shared" si="2"/>
        <v>70.594512029785648</v>
      </c>
      <c r="AC12" s="20">
        <f t="shared" si="0"/>
        <v>309817429</v>
      </c>
      <c r="AD12" s="19">
        <f t="shared" si="3"/>
        <v>70.594512029785648</v>
      </c>
    </row>
    <row r="13" spans="2:38">
      <c r="B13" s="13">
        <f t="shared" si="1"/>
        <v>4</v>
      </c>
      <c r="C13" s="21" t="s">
        <v>33</v>
      </c>
      <c r="D13" s="21" t="s">
        <v>34</v>
      </c>
      <c r="E13" s="482"/>
      <c r="F13" s="523">
        <v>1</v>
      </c>
      <c r="G13" s="471" t="s">
        <v>1845</v>
      </c>
      <c r="H13" s="650">
        <v>0</v>
      </c>
      <c r="I13" s="471" t="s">
        <v>1845</v>
      </c>
      <c r="J13" s="15">
        <v>222040000</v>
      </c>
      <c r="K13" s="99">
        <v>1285250000</v>
      </c>
      <c r="L13" s="13"/>
      <c r="M13" s="17"/>
      <c r="N13" s="17"/>
      <c r="O13" s="18"/>
      <c r="P13" s="18"/>
      <c r="Q13" s="17"/>
      <c r="R13" s="17"/>
      <c r="S13" s="17"/>
      <c r="T13" s="17"/>
      <c r="U13" s="17"/>
      <c r="V13" s="17"/>
      <c r="W13" s="17"/>
      <c r="X13" s="17"/>
      <c r="Y13" s="466">
        <v>100</v>
      </c>
      <c r="Z13" s="466">
        <v>100</v>
      </c>
      <c r="AA13" s="20">
        <v>1272793000</v>
      </c>
      <c r="AB13" s="19">
        <f t="shared" si="2"/>
        <v>99.030772223302847</v>
      </c>
      <c r="AC13" s="20">
        <f t="shared" si="0"/>
        <v>1272793000</v>
      </c>
      <c r="AD13" s="19">
        <f t="shared" si="3"/>
        <v>99.030772223302847</v>
      </c>
    </row>
    <row r="14" spans="2:38">
      <c r="B14" s="13">
        <f t="shared" si="1"/>
        <v>5</v>
      </c>
      <c r="C14" s="21" t="s">
        <v>35</v>
      </c>
      <c r="D14" s="21" t="s">
        <v>36</v>
      </c>
      <c r="E14" s="482"/>
      <c r="F14" s="523">
        <v>1</v>
      </c>
      <c r="G14" s="471" t="s">
        <v>1845</v>
      </c>
      <c r="H14" s="650">
        <v>0</v>
      </c>
      <c r="I14" s="471" t="s">
        <v>1845</v>
      </c>
      <c r="J14" s="15">
        <v>35000000</v>
      </c>
      <c r="K14" s="99">
        <v>35000000</v>
      </c>
      <c r="L14" s="13"/>
      <c r="M14" s="17"/>
      <c r="N14" s="17"/>
      <c r="O14" s="18"/>
      <c r="P14" s="18"/>
      <c r="Q14" s="17"/>
      <c r="R14" s="17"/>
      <c r="S14" s="17"/>
      <c r="T14" s="17"/>
      <c r="U14" s="17"/>
      <c r="V14" s="17"/>
      <c r="W14" s="17"/>
      <c r="X14" s="17"/>
      <c r="Y14" s="466">
        <v>100</v>
      </c>
      <c r="Z14" s="466">
        <v>100</v>
      </c>
      <c r="AA14" s="20">
        <v>29198393</v>
      </c>
      <c r="AB14" s="19">
        <f t="shared" si="2"/>
        <v>83.42398</v>
      </c>
      <c r="AC14" s="20">
        <f t="shared" si="0"/>
        <v>29198393</v>
      </c>
      <c r="AD14" s="19">
        <f t="shared" si="3"/>
        <v>83.42398</v>
      </c>
    </row>
    <row r="15" spans="2:38" ht="25.5">
      <c r="B15" s="13">
        <f t="shared" si="1"/>
        <v>6</v>
      </c>
      <c r="C15" s="21" t="s">
        <v>37</v>
      </c>
      <c r="D15" s="21" t="s">
        <v>38</v>
      </c>
      <c r="E15" s="482"/>
      <c r="F15" s="523">
        <v>1</v>
      </c>
      <c r="G15" s="471" t="s">
        <v>1845</v>
      </c>
      <c r="H15" s="650">
        <v>0</v>
      </c>
      <c r="I15" s="471" t="s">
        <v>1845</v>
      </c>
      <c r="J15" s="15">
        <v>12500000</v>
      </c>
      <c r="K15" s="99">
        <v>12500000</v>
      </c>
      <c r="L15" s="13"/>
      <c r="M15" s="17"/>
      <c r="N15" s="17"/>
      <c r="O15" s="18"/>
      <c r="P15" s="18"/>
      <c r="Q15" s="17"/>
      <c r="R15" s="17"/>
      <c r="S15" s="17"/>
      <c r="T15" s="17"/>
      <c r="U15" s="17"/>
      <c r="V15" s="17"/>
      <c r="W15" s="17"/>
      <c r="X15" s="17"/>
      <c r="Y15" s="466">
        <v>100</v>
      </c>
      <c r="Z15" s="466">
        <v>100</v>
      </c>
      <c r="AA15" s="20">
        <v>4989000</v>
      </c>
      <c r="AB15" s="19">
        <f t="shared" si="2"/>
        <v>39.911999999999999</v>
      </c>
      <c r="AC15" s="20">
        <f t="shared" si="0"/>
        <v>4989000</v>
      </c>
      <c r="AD15" s="19">
        <f t="shared" si="3"/>
        <v>39.911999999999999</v>
      </c>
    </row>
    <row r="16" spans="2:38">
      <c r="B16" s="13">
        <f t="shared" si="1"/>
        <v>7</v>
      </c>
      <c r="C16" s="21" t="s">
        <v>39</v>
      </c>
      <c r="D16" s="21" t="s">
        <v>40</v>
      </c>
      <c r="E16" s="482"/>
      <c r="F16" s="523">
        <v>1</v>
      </c>
      <c r="G16" s="471" t="s">
        <v>1845</v>
      </c>
      <c r="H16" s="650">
        <v>0</v>
      </c>
      <c r="I16" s="471" t="s">
        <v>1845</v>
      </c>
      <c r="J16" s="15">
        <v>13525000</v>
      </c>
      <c r="K16" s="99">
        <v>0</v>
      </c>
      <c r="L16" s="13"/>
      <c r="M16" s="17"/>
      <c r="N16" s="17"/>
      <c r="O16" s="18"/>
      <c r="P16" s="18"/>
      <c r="Q16" s="17"/>
      <c r="R16" s="17"/>
      <c r="S16" s="17"/>
      <c r="T16" s="17"/>
      <c r="U16" s="17"/>
      <c r="V16" s="17"/>
      <c r="W16" s="17"/>
      <c r="X16" s="17"/>
      <c r="Y16" s="19">
        <v>0</v>
      </c>
      <c r="Z16" s="19">
        <v>0</v>
      </c>
      <c r="AA16" s="20">
        <v>0</v>
      </c>
      <c r="AB16" s="19">
        <v>0</v>
      </c>
      <c r="AC16" s="20">
        <f t="shared" si="0"/>
        <v>0</v>
      </c>
      <c r="AD16" s="19"/>
    </row>
    <row r="17" spans="2:30">
      <c r="B17" s="13"/>
      <c r="C17" s="23" t="s">
        <v>41</v>
      </c>
      <c r="D17" s="14" t="s">
        <v>42</v>
      </c>
      <c r="E17" s="482"/>
      <c r="F17" s="523"/>
      <c r="G17" s="471"/>
      <c r="H17" s="650"/>
      <c r="I17" s="471"/>
      <c r="J17" s="15"/>
      <c r="K17" s="16"/>
      <c r="L17" s="13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9"/>
      <c r="Z17" s="19"/>
      <c r="AA17" s="20"/>
      <c r="AB17" s="19"/>
      <c r="AC17" s="20">
        <f>AA17</f>
        <v>0</v>
      </c>
      <c r="AD17" s="19"/>
    </row>
    <row r="18" spans="2:30">
      <c r="B18" s="13">
        <f>B16+1</f>
        <v>8</v>
      </c>
      <c r="C18" s="24" t="s">
        <v>43</v>
      </c>
      <c r="D18" s="21" t="s">
        <v>44</v>
      </c>
      <c r="E18" s="482"/>
      <c r="F18" s="523">
        <v>1</v>
      </c>
      <c r="G18" s="471" t="s">
        <v>1845</v>
      </c>
      <c r="H18" s="650">
        <v>0</v>
      </c>
      <c r="I18" s="471" t="s">
        <v>1845</v>
      </c>
      <c r="J18" s="15">
        <v>29500000</v>
      </c>
      <c r="K18" s="99">
        <v>29500000</v>
      </c>
      <c r="L18" s="13"/>
      <c r="M18" s="17"/>
      <c r="N18" s="17"/>
      <c r="O18" s="18"/>
      <c r="P18" s="18"/>
      <c r="Q18" s="17"/>
      <c r="R18" s="17"/>
      <c r="S18" s="17"/>
      <c r="T18" s="17"/>
      <c r="U18" s="17"/>
      <c r="V18" s="17"/>
      <c r="W18" s="17"/>
      <c r="X18" s="17"/>
      <c r="Y18" s="466">
        <v>100</v>
      </c>
      <c r="Z18" s="466">
        <v>100</v>
      </c>
      <c r="AA18" s="20">
        <v>29500000</v>
      </c>
      <c r="AB18" s="19">
        <f>AA18/K18*100</f>
        <v>100</v>
      </c>
      <c r="AC18" s="20">
        <f t="shared" si="0"/>
        <v>29500000</v>
      </c>
      <c r="AD18" s="19">
        <f t="shared" si="3"/>
        <v>100</v>
      </c>
    </row>
    <row r="19" spans="2:30" ht="25.5">
      <c r="B19" s="13">
        <f t="shared" si="1"/>
        <v>9</v>
      </c>
      <c r="C19" s="24" t="s">
        <v>45</v>
      </c>
      <c r="D19" s="21" t="s">
        <v>46</v>
      </c>
      <c r="E19" s="482"/>
      <c r="F19" s="523">
        <v>1</v>
      </c>
      <c r="G19" s="471" t="s">
        <v>1845</v>
      </c>
      <c r="H19" s="650">
        <v>0</v>
      </c>
      <c r="I19" s="471" t="s">
        <v>1845</v>
      </c>
      <c r="J19" s="15">
        <v>21000000</v>
      </c>
      <c r="K19" s="99">
        <v>21000000</v>
      </c>
      <c r="L19" s="13"/>
      <c r="M19" s="17"/>
      <c r="N19" s="17"/>
      <c r="O19" s="18"/>
      <c r="P19" s="17"/>
      <c r="Q19" s="17"/>
      <c r="R19" s="17"/>
      <c r="S19" s="17"/>
      <c r="T19" s="17"/>
      <c r="U19" s="17"/>
      <c r="V19" s="17"/>
      <c r="W19" s="17"/>
      <c r="X19" s="17"/>
      <c r="Y19" s="466">
        <v>100</v>
      </c>
      <c r="Z19" s="466">
        <v>100</v>
      </c>
      <c r="AA19" s="20">
        <v>20385000</v>
      </c>
      <c r="AB19" s="19">
        <f t="shared" ref="AB19:AB20" si="4">AA19/K19*100</f>
        <v>97.071428571428569</v>
      </c>
      <c r="AC19" s="20">
        <f t="shared" si="0"/>
        <v>20385000</v>
      </c>
      <c r="AD19" s="19">
        <f t="shared" si="3"/>
        <v>97.071428571428569</v>
      </c>
    </row>
    <row r="20" spans="2:30" ht="25.5">
      <c r="B20" s="13">
        <f t="shared" si="1"/>
        <v>10</v>
      </c>
      <c r="C20" s="24" t="s">
        <v>47</v>
      </c>
      <c r="D20" s="21" t="s">
        <v>48</v>
      </c>
      <c r="E20" s="482"/>
      <c r="F20" s="523">
        <v>1</v>
      </c>
      <c r="G20" s="471" t="s">
        <v>1845</v>
      </c>
      <c r="H20" s="650">
        <v>0</v>
      </c>
      <c r="I20" s="471" t="s">
        <v>1845</v>
      </c>
      <c r="J20" s="15">
        <v>21000000</v>
      </c>
      <c r="K20" s="99">
        <v>21000000</v>
      </c>
      <c r="L20" s="13"/>
      <c r="M20" s="17"/>
      <c r="N20" s="17"/>
      <c r="O20" s="18"/>
      <c r="P20" s="18"/>
      <c r="Q20" s="17"/>
      <c r="R20" s="17"/>
      <c r="S20" s="17"/>
      <c r="T20" s="17"/>
      <c r="U20" s="17"/>
      <c r="V20" s="17"/>
      <c r="W20" s="17"/>
      <c r="X20" s="17"/>
      <c r="Y20" s="466">
        <v>100</v>
      </c>
      <c r="Z20" s="466">
        <v>100</v>
      </c>
      <c r="AA20" s="20">
        <v>20906990</v>
      </c>
      <c r="AB20" s="19">
        <f t="shared" si="4"/>
        <v>99.557095238095243</v>
      </c>
      <c r="AC20" s="20">
        <f t="shared" si="0"/>
        <v>20906990</v>
      </c>
      <c r="AD20" s="19">
        <f t="shared" si="3"/>
        <v>99.557095238095243</v>
      </c>
    </row>
    <row r="21" spans="2:30" ht="20.25" customHeight="1">
      <c r="B21" s="13">
        <f t="shared" si="1"/>
        <v>11</v>
      </c>
      <c r="C21" s="24" t="s">
        <v>2229</v>
      </c>
      <c r="D21" s="356" t="s">
        <v>2230</v>
      </c>
      <c r="E21" s="482"/>
      <c r="F21" s="523">
        <v>1</v>
      </c>
      <c r="G21" s="471" t="s">
        <v>1845</v>
      </c>
      <c r="H21" s="724" t="s">
        <v>1459</v>
      </c>
      <c r="I21" s="471" t="s">
        <v>1845</v>
      </c>
      <c r="J21" s="15"/>
      <c r="K21" s="99">
        <v>249140000</v>
      </c>
      <c r="L21" s="13"/>
      <c r="M21" s="17"/>
      <c r="N21" s="17"/>
      <c r="O21" s="18"/>
      <c r="P21" s="18"/>
      <c r="Q21" s="17"/>
      <c r="R21" s="17"/>
      <c r="S21" s="17"/>
      <c r="T21" s="17"/>
      <c r="U21" s="17"/>
      <c r="V21" s="17"/>
      <c r="W21" s="17"/>
      <c r="X21" s="17"/>
      <c r="Y21" s="466"/>
      <c r="Z21" s="466"/>
      <c r="AA21" s="20"/>
      <c r="AB21" s="19"/>
      <c r="AC21" s="20"/>
      <c r="AD21" s="19">
        <f t="shared" si="3"/>
        <v>0</v>
      </c>
    </row>
    <row r="22" spans="2:30">
      <c r="B22" s="13">
        <f t="shared" si="1"/>
        <v>12</v>
      </c>
      <c r="C22" s="24" t="s">
        <v>49</v>
      </c>
      <c r="D22" s="21" t="s">
        <v>50</v>
      </c>
      <c r="E22" s="482"/>
      <c r="F22" s="523">
        <v>1</v>
      </c>
      <c r="G22" s="471" t="s">
        <v>1845</v>
      </c>
      <c r="H22" s="650">
        <v>0</v>
      </c>
      <c r="I22" s="471" t="s">
        <v>1845</v>
      </c>
      <c r="J22" s="15">
        <v>1473494000</v>
      </c>
      <c r="K22" s="99">
        <v>4477794000</v>
      </c>
      <c r="L22" s="13"/>
      <c r="M22" s="17"/>
      <c r="N22" s="17"/>
      <c r="O22" s="18"/>
      <c r="P22" s="18"/>
      <c r="Q22" s="17"/>
      <c r="R22" s="17"/>
      <c r="S22" s="17"/>
      <c r="T22" s="17"/>
      <c r="U22" s="17"/>
      <c r="V22" s="17"/>
      <c r="W22" s="17"/>
      <c r="X22" s="17"/>
      <c r="Y22" s="466">
        <v>100</v>
      </c>
      <c r="Z22" s="466">
        <v>100</v>
      </c>
      <c r="AA22" s="20">
        <v>4032550000</v>
      </c>
      <c r="AB22" s="19">
        <f>AA22/K22*100</f>
        <v>90.056621631097812</v>
      </c>
      <c r="AC22" s="20">
        <f t="shared" si="0"/>
        <v>4032550000</v>
      </c>
      <c r="AD22" s="19">
        <f t="shared" si="3"/>
        <v>90.056621631097812</v>
      </c>
    </row>
    <row r="23" spans="2:30" ht="25.5">
      <c r="B23" s="13">
        <f t="shared" si="1"/>
        <v>13</v>
      </c>
      <c r="C23" s="24" t="s">
        <v>51</v>
      </c>
      <c r="D23" s="21" t="s">
        <v>52</v>
      </c>
      <c r="E23" s="482"/>
      <c r="F23" s="523">
        <v>1</v>
      </c>
      <c r="G23" s="471" t="s">
        <v>1845</v>
      </c>
      <c r="H23" s="650">
        <v>0</v>
      </c>
      <c r="I23" s="471" t="s">
        <v>1845</v>
      </c>
      <c r="J23" s="15">
        <v>131200000</v>
      </c>
      <c r="K23" s="99">
        <v>131200000</v>
      </c>
      <c r="L23" s="13"/>
      <c r="M23" s="17"/>
      <c r="N23" s="17"/>
      <c r="O23" s="18"/>
      <c r="P23" s="18"/>
      <c r="Q23" s="17"/>
      <c r="R23" s="17"/>
      <c r="S23" s="17"/>
      <c r="T23" s="17"/>
      <c r="U23" s="17"/>
      <c r="V23" s="17"/>
      <c r="W23" s="17"/>
      <c r="X23" s="17"/>
      <c r="Y23" s="466">
        <v>100</v>
      </c>
      <c r="Z23" s="466">
        <v>100</v>
      </c>
      <c r="AA23" s="20">
        <v>129500000</v>
      </c>
      <c r="AB23" s="19">
        <f t="shared" ref="AB23:AB86" si="5">AA23/K23*100</f>
        <v>98.704268292682926</v>
      </c>
      <c r="AC23" s="20">
        <f t="shared" si="0"/>
        <v>129500000</v>
      </c>
      <c r="AD23" s="19">
        <f t="shared" si="3"/>
        <v>98.704268292682926</v>
      </c>
    </row>
    <row r="24" spans="2:30" ht="25.5">
      <c r="B24" s="13">
        <f t="shared" si="1"/>
        <v>14</v>
      </c>
      <c r="C24" s="24" t="s">
        <v>2231</v>
      </c>
      <c r="D24" s="75" t="s">
        <v>2232</v>
      </c>
      <c r="E24" s="482"/>
      <c r="F24" s="523">
        <v>1</v>
      </c>
      <c r="G24" s="471" t="s">
        <v>1845</v>
      </c>
      <c r="H24" s="650">
        <v>0</v>
      </c>
      <c r="I24" s="471" t="s">
        <v>1845</v>
      </c>
      <c r="J24" s="15"/>
      <c r="K24" s="99">
        <v>350000000</v>
      </c>
      <c r="L24" s="13"/>
      <c r="M24" s="17"/>
      <c r="N24" s="17"/>
      <c r="O24" s="18"/>
      <c r="P24" s="18"/>
      <c r="Q24" s="17"/>
      <c r="R24" s="17"/>
      <c r="S24" s="17"/>
      <c r="T24" s="17"/>
      <c r="U24" s="17"/>
      <c r="V24" s="17"/>
      <c r="W24" s="17"/>
      <c r="X24" s="17"/>
      <c r="Y24" s="466">
        <v>100</v>
      </c>
      <c r="Z24" s="466">
        <v>100</v>
      </c>
      <c r="AA24" s="20">
        <v>344339000</v>
      </c>
      <c r="AB24" s="19">
        <f t="shared" si="5"/>
        <v>98.382571428571424</v>
      </c>
      <c r="AC24" s="20">
        <f t="shared" si="0"/>
        <v>344339000</v>
      </c>
      <c r="AD24" s="19">
        <f t="shared" si="3"/>
        <v>98.382571428571424</v>
      </c>
    </row>
    <row r="25" spans="2:30" ht="25.5">
      <c r="B25" s="13">
        <f t="shared" si="1"/>
        <v>15</v>
      </c>
      <c r="C25" s="24" t="s">
        <v>53</v>
      </c>
      <c r="D25" s="21" t="s">
        <v>54</v>
      </c>
      <c r="E25" s="482"/>
      <c r="F25" s="523">
        <v>1</v>
      </c>
      <c r="G25" s="471" t="s">
        <v>1845</v>
      </c>
      <c r="H25" s="650">
        <v>0</v>
      </c>
      <c r="I25" s="471" t="s">
        <v>1845</v>
      </c>
      <c r="J25" s="15">
        <v>25000000</v>
      </c>
      <c r="K25" s="15">
        <v>25000000</v>
      </c>
      <c r="L25" s="13"/>
      <c r="M25" s="17"/>
      <c r="N25" s="17"/>
      <c r="O25" s="18"/>
      <c r="P25" s="17"/>
      <c r="Q25" s="17"/>
      <c r="R25" s="17"/>
      <c r="S25" s="17"/>
      <c r="T25" s="17"/>
      <c r="U25" s="17"/>
      <c r="V25" s="17"/>
      <c r="W25" s="17"/>
      <c r="X25" s="17"/>
      <c r="Y25" s="466">
        <v>100</v>
      </c>
      <c r="Z25" s="466">
        <v>100</v>
      </c>
      <c r="AA25" s="20">
        <v>24517000</v>
      </c>
      <c r="AB25" s="19">
        <f t="shared" si="5"/>
        <v>98.067999999999998</v>
      </c>
      <c r="AC25" s="20">
        <f t="shared" si="0"/>
        <v>24517000</v>
      </c>
      <c r="AD25" s="19">
        <f t="shared" si="3"/>
        <v>98.067999999999998</v>
      </c>
    </row>
    <row r="26" spans="2:30" ht="25.5">
      <c r="B26" s="13">
        <f t="shared" si="1"/>
        <v>16</v>
      </c>
      <c r="C26" s="24" t="s">
        <v>2240</v>
      </c>
      <c r="D26" s="75" t="s">
        <v>2233</v>
      </c>
      <c r="E26" s="482"/>
      <c r="F26" s="523">
        <v>1</v>
      </c>
      <c r="G26" s="471"/>
      <c r="H26" s="650"/>
      <c r="I26" s="471"/>
      <c r="J26" s="15"/>
      <c r="K26" s="99">
        <v>50000000</v>
      </c>
      <c r="L26" s="13"/>
      <c r="M26" s="17"/>
      <c r="N26" s="17"/>
      <c r="O26" s="18"/>
      <c r="P26" s="17"/>
      <c r="Q26" s="17"/>
      <c r="R26" s="17"/>
      <c r="S26" s="17"/>
      <c r="T26" s="17"/>
      <c r="U26" s="17"/>
      <c r="V26" s="17"/>
      <c r="W26" s="17"/>
      <c r="X26" s="17"/>
      <c r="Y26" s="466">
        <v>100</v>
      </c>
      <c r="Z26" s="466">
        <v>100</v>
      </c>
      <c r="AA26" s="20">
        <v>44324000</v>
      </c>
      <c r="AB26" s="19">
        <f t="shared" si="5"/>
        <v>88.64800000000001</v>
      </c>
      <c r="AC26" s="20">
        <f t="shared" si="0"/>
        <v>44324000</v>
      </c>
      <c r="AD26" s="19">
        <f t="shared" si="3"/>
        <v>88.64800000000001</v>
      </c>
    </row>
    <row r="27" spans="2:30" ht="25.5">
      <c r="B27" s="13">
        <f t="shared" si="1"/>
        <v>17</v>
      </c>
      <c r="C27" s="24" t="s">
        <v>2241</v>
      </c>
      <c r="D27" s="75" t="s">
        <v>2234</v>
      </c>
      <c r="E27" s="482"/>
      <c r="F27" s="523">
        <v>1</v>
      </c>
      <c r="G27" s="471"/>
      <c r="H27" s="650"/>
      <c r="I27" s="471"/>
      <c r="J27" s="15"/>
      <c r="K27" s="99">
        <v>150000000</v>
      </c>
      <c r="L27" s="13"/>
      <c r="M27" s="17"/>
      <c r="N27" s="17"/>
      <c r="O27" s="18"/>
      <c r="P27" s="17"/>
      <c r="Q27" s="17"/>
      <c r="R27" s="17"/>
      <c r="S27" s="17"/>
      <c r="T27" s="17"/>
      <c r="U27" s="17"/>
      <c r="V27" s="17"/>
      <c r="W27" s="17"/>
      <c r="X27" s="17"/>
      <c r="Y27" s="466">
        <v>100</v>
      </c>
      <c r="Z27" s="466">
        <v>100</v>
      </c>
      <c r="AA27" s="20">
        <v>148314000</v>
      </c>
      <c r="AB27" s="19">
        <f t="shared" si="5"/>
        <v>98.875999999999991</v>
      </c>
      <c r="AC27" s="20">
        <f t="shared" si="0"/>
        <v>148314000</v>
      </c>
      <c r="AD27" s="19">
        <f t="shared" si="3"/>
        <v>98.875999999999991</v>
      </c>
    </row>
    <row r="28" spans="2:30">
      <c r="B28" s="13">
        <f t="shared" si="1"/>
        <v>18</v>
      </c>
      <c r="C28" s="24" t="s">
        <v>2242</v>
      </c>
      <c r="D28" s="58" t="s">
        <v>2235</v>
      </c>
      <c r="E28" s="482"/>
      <c r="F28" s="523">
        <v>1</v>
      </c>
      <c r="G28" s="471"/>
      <c r="H28" s="650"/>
      <c r="I28" s="471"/>
      <c r="J28" s="15"/>
      <c r="K28" s="99">
        <v>100000000</v>
      </c>
      <c r="L28" s="13"/>
      <c r="M28" s="17"/>
      <c r="N28" s="17"/>
      <c r="O28" s="18"/>
      <c r="P28" s="17"/>
      <c r="Q28" s="17"/>
      <c r="R28" s="17"/>
      <c r="S28" s="17"/>
      <c r="T28" s="17"/>
      <c r="U28" s="17"/>
      <c r="V28" s="17"/>
      <c r="W28" s="17"/>
      <c r="X28" s="17"/>
      <c r="Y28" s="466">
        <v>100</v>
      </c>
      <c r="Z28" s="466">
        <v>100</v>
      </c>
      <c r="AA28" s="20">
        <v>99598000</v>
      </c>
      <c r="AB28" s="19">
        <f t="shared" si="5"/>
        <v>99.597999999999999</v>
      </c>
      <c r="AC28" s="20">
        <f t="shared" si="0"/>
        <v>99598000</v>
      </c>
      <c r="AD28" s="19">
        <f t="shared" si="3"/>
        <v>99.597999999999999</v>
      </c>
    </row>
    <row r="29" spans="2:30" ht="25.5">
      <c r="B29" s="13">
        <f t="shared" si="1"/>
        <v>19</v>
      </c>
      <c r="C29" s="24" t="s">
        <v>2243</v>
      </c>
      <c r="D29" s="75" t="s">
        <v>2236</v>
      </c>
      <c r="E29" s="482"/>
      <c r="F29" s="523">
        <v>1</v>
      </c>
      <c r="G29" s="471"/>
      <c r="H29" s="650"/>
      <c r="I29" s="471"/>
      <c r="J29" s="15"/>
      <c r="K29" s="99">
        <v>44000000</v>
      </c>
      <c r="L29" s="13"/>
      <c r="M29" s="17"/>
      <c r="N29" s="17"/>
      <c r="O29" s="18"/>
      <c r="P29" s="17"/>
      <c r="Q29" s="17"/>
      <c r="R29" s="17"/>
      <c r="S29" s="17"/>
      <c r="T29" s="17"/>
      <c r="U29" s="17"/>
      <c r="V29" s="17"/>
      <c r="W29" s="17"/>
      <c r="X29" s="17"/>
      <c r="Y29" s="466">
        <v>100</v>
      </c>
      <c r="Z29" s="466">
        <v>100</v>
      </c>
      <c r="AA29" s="20">
        <v>43579000</v>
      </c>
      <c r="AB29" s="19">
        <f t="shared" si="5"/>
        <v>99.043181818181807</v>
      </c>
      <c r="AC29" s="20">
        <f t="shared" si="0"/>
        <v>43579000</v>
      </c>
      <c r="AD29" s="19">
        <f t="shared" si="3"/>
        <v>99.043181818181807</v>
      </c>
    </row>
    <row r="30" spans="2:30" ht="25.5">
      <c r="B30" s="13">
        <f t="shared" si="1"/>
        <v>20</v>
      </c>
      <c r="C30" s="24" t="s">
        <v>2244</v>
      </c>
      <c r="D30" s="75" t="s">
        <v>2237</v>
      </c>
      <c r="E30" s="482"/>
      <c r="F30" s="523">
        <v>1</v>
      </c>
      <c r="G30" s="471"/>
      <c r="H30" s="650"/>
      <c r="I30" s="471"/>
      <c r="J30" s="15"/>
      <c r="K30" s="99">
        <v>240838000</v>
      </c>
      <c r="L30" s="13"/>
      <c r="M30" s="17"/>
      <c r="N30" s="17"/>
      <c r="O30" s="18"/>
      <c r="P30" s="17"/>
      <c r="Q30" s="17"/>
      <c r="R30" s="17"/>
      <c r="S30" s="17"/>
      <c r="T30" s="17"/>
      <c r="U30" s="17"/>
      <c r="V30" s="17"/>
      <c r="W30" s="17"/>
      <c r="X30" s="17"/>
      <c r="Y30" s="466">
        <v>100</v>
      </c>
      <c r="Z30" s="466">
        <v>100</v>
      </c>
      <c r="AA30" s="20">
        <v>240838000</v>
      </c>
      <c r="AB30" s="19">
        <f t="shared" si="5"/>
        <v>100</v>
      </c>
      <c r="AC30" s="20"/>
      <c r="AD30" s="19">
        <f t="shared" si="3"/>
        <v>0</v>
      </c>
    </row>
    <row r="31" spans="2:30" ht="25.5">
      <c r="B31" s="13">
        <f t="shared" si="1"/>
        <v>21</v>
      </c>
      <c r="C31" s="24" t="s">
        <v>2245</v>
      </c>
      <c r="D31" s="75" t="s">
        <v>2238</v>
      </c>
      <c r="E31" s="482"/>
      <c r="F31" s="523">
        <v>1</v>
      </c>
      <c r="G31" s="471"/>
      <c r="H31" s="650"/>
      <c r="I31" s="471"/>
      <c r="J31" s="15"/>
      <c r="K31" s="99">
        <v>20000000</v>
      </c>
      <c r="L31" s="13"/>
      <c r="M31" s="17"/>
      <c r="N31" s="17"/>
      <c r="O31" s="18"/>
      <c r="P31" s="17"/>
      <c r="Q31" s="17"/>
      <c r="R31" s="17"/>
      <c r="S31" s="17"/>
      <c r="T31" s="17"/>
      <c r="U31" s="17"/>
      <c r="V31" s="17"/>
      <c r="W31" s="17"/>
      <c r="X31" s="17"/>
      <c r="Y31" s="466">
        <v>100</v>
      </c>
      <c r="Z31" s="466">
        <v>100</v>
      </c>
      <c r="AA31" s="20">
        <v>20000000</v>
      </c>
      <c r="AB31" s="19">
        <f t="shared" si="5"/>
        <v>100</v>
      </c>
      <c r="AC31" s="20"/>
      <c r="AD31" s="19">
        <f t="shared" si="3"/>
        <v>0</v>
      </c>
    </row>
    <row r="32" spans="2:30">
      <c r="B32" s="13">
        <f t="shared" si="1"/>
        <v>22</v>
      </c>
      <c r="C32" s="24" t="s">
        <v>2246</v>
      </c>
      <c r="D32" s="58" t="s">
        <v>2239</v>
      </c>
      <c r="E32" s="482"/>
      <c r="F32" s="523">
        <v>1</v>
      </c>
      <c r="G32" s="471"/>
      <c r="H32" s="650"/>
      <c r="I32" s="471"/>
      <c r="J32" s="15"/>
      <c r="K32" s="99">
        <v>220000000</v>
      </c>
      <c r="L32" s="13"/>
      <c r="M32" s="17"/>
      <c r="N32" s="17"/>
      <c r="O32" s="18"/>
      <c r="P32" s="17"/>
      <c r="Q32" s="17"/>
      <c r="R32" s="17"/>
      <c r="S32" s="17"/>
      <c r="T32" s="17"/>
      <c r="U32" s="17"/>
      <c r="V32" s="17"/>
      <c r="W32" s="17"/>
      <c r="X32" s="17"/>
      <c r="Y32" s="466">
        <v>100</v>
      </c>
      <c r="Z32" s="466">
        <v>100</v>
      </c>
      <c r="AA32" s="20">
        <v>209000000</v>
      </c>
      <c r="AB32" s="19">
        <f t="shared" si="5"/>
        <v>95</v>
      </c>
      <c r="AC32" s="20"/>
      <c r="AD32" s="19">
        <f t="shared" si="3"/>
        <v>0</v>
      </c>
    </row>
    <row r="33" spans="2:30">
      <c r="B33" s="13"/>
      <c r="C33" s="23" t="s">
        <v>55</v>
      </c>
      <c r="D33" s="14" t="s">
        <v>56</v>
      </c>
      <c r="E33" s="482"/>
      <c r="F33" s="523"/>
      <c r="G33" s="471"/>
      <c r="H33" s="650"/>
      <c r="I33" s="471"/>
      <c r="J33" s="15"/>
      <c r="K33" s="25"/>
      <c r="L33" s="13"/>
      <c r="M33" s="17"/>
      <c r="N33" s="17"/>
      <c r="O33" s="18"/>
      <c r="P33" s="17"/>
      <c r="Q33" s="17"/>
      <c r="R33" s="17"/>
      <c r="S33" s="17"/>
      <c r="T33" s="17"/>
      <c r="U33" s="17"/>
      <c r="V33" s="17"/>
      <c r="W33" s="17"/>
      <c r="X33" s="17"/>
      <c r="Y33" s="19"/>
      <c r="Z33" s="19"/>
      <c r="AA33" s="20">
        <v>0</v>
      </c>
      <c r="AB33" s="19"/>
      <c r="AC33" s="20"/>
      <c r="AD33" s="19"/>
    </row>
    <row r="34" spans="2:30">
      <c r="B34" s="13">
        <v>23</v>
      </c>
      <c r="C34" s="24" t="s">
        <v>57</v>
      </c>
      <c r="D34" s="21" t="s">
        <v>58</v>
      </c>
      <c r="E34" s="482"/>
      <c r="F34" s="523">
        <v>1</v>
      </c>
      <c r="G34" s="471" t="s">
        <v>1845</v>
      </c>
      <c r="H34" s="650">
        <v>0</v>
      </c>
      <c r="I34" s="471" t="s">
        <v>1845</v>
      </c>
      <c r="J34" s="15">
        <v>72268000</v>
      </c>
      <c r="K34" s="99">
        <v>72268000</v>
      </c>
      <c r="L34" s="13"/>
      <c r="M34" s="17"/>
      <c r="N34" s="17"/>
      <c r="O34" s="18"/>
      <c r="P34" s="17"/>
      <c r="Q34" s="17"/>
      <c r="R34" s="17"/>
      <c r="S34" s="17"/>
      <c r="T34" s="17"/>
      <c r="U34" s="17"/>
      <c r="V34" s="17"/>
      <c r="W34" s="17"/>
      <c r="X34" s="17"/>
      <c r="Y34" s="466">
        <v>100</v>
      </c>
      <c r="Z34" s="466">
        <v>100</v>
      </c>
      <c r="AA34" s="20">
        <v>72246000</v>
      </c>
      <c r="AB34" s="19">
        <f t="shared" si="5"/>
        <v>99.969557757236942</v>
      </c>
      <c r="AC34" s="20">
        <f t="shared" si="0"/>
        <v>72246000</v>
      </c>
      <c r="AD34" s="19">
        <f t="shared" si="3"/>
        <v>99.969557757236942</v>
      </c>
    </row>
    <row r="35" spans="2:30" ht="25.5">
      <c r="B35" s="13">
        <f t="shared" si="1"/>
        <v>24</v>
      </c>
      <c r="C35" s="24" t="s">
        <v>59</v>
      </c>
      <c r="D35" s="21" t="s">
        <v>60</v>
      </c>
      <c r="E35" s="482"/>
      <c r="F35" s="523">
        <v>1</v>
      </c>
      <c r="G35" s="471" t="s">
        <v>1845</v>
      </c>
      <c r="H35" s="650">
        <v>0</v>
      </c>
      <c r="I35" s="471" t="s">
        <v>1845</v>
      </c>
      <c r="J35" s="15">
        <v>121210000</v>
      </c>
      <c r="K35" s="99">
        <v>121210000</v>
      </c>
      <c r="L35" s="13"/>
      <c r="M35" s="17"/>
      <c r="N35" s="17"/>
      <c r="O35" s="18"/>
      <c r="P35" s="17"/>
      <c r="Q35" s="17"/>
      <c r="R35" s="17"/>
      <c r="S35" s="17"/>
      <c r="T35" s="17"/>
      <c r="U35" s="17"/>
      <c r="V35" s="17"/>
      <c r="W35" s="17"/>
      <c r="X35" s="17"/>
      <c r="Y35" s="466">
        <v>100</v>
      </c>
      <c r="Z35" s="466">
        <v>100</v>
      </c>
      <c r="AA35" s="20">
        <v>116767400</v>
      </c>
      <c r="AB35" s="19">
        <f t="shared" si="5"/>
        <v>96.334790858840023</v>
      </c>
      <c r="AC35" s="20">
        <f t="shared" si="0"/>
        <v>116767400</v>
      </c>
      <c r="AD35" s="19">
        <f t="shared" si="3"/>
        <v>96.334790858840023</v>
      </c>
    </row>
    <row r="36" spans="2:30">
      <c r="B36" s="13">
        <f t="shared" si="1"/>
        <v>25</v>
      </c>
      <c r="C36" s="24" t="s">
        <v>61</v>
      </c>
      <c r="D36" s="21" t="s">
        <v>62</v>
      </c>
      <c r="E36" s="482"/>
      <c r="F36" s="523">
        <v>1</v>
      </c>
      <c r="G36" s="471" t="s">
        <v>1845</v>
      </c>
      <c r="H36" s="650">
        <v>0</v>
      </c>
      <c r="I36" s="471" t="s">
        <v>1845</v>
      </c>
      <c r="J36" s="15">
        <v>96606000</v>
      </c>
      <c r="K36" s="99">
        <v>96606000</v>
      </c>
      <c r="L36" s="13"/>
      <c r="M36" s="17"/>
      <c r="N36" s="17"/>
      <c r="O36" s="18"/>
      <c r="P36" s="17"/>
      <c r="Q36" s="17"/>
      <c r="R36" s="17"/>
      <c r="S36" s="17"/>
      <c r="T36" s="17"/>
      <c r="U36" s="17"/>
      <c r="V36" s="17"/>
      <c r="W36" s="17"/>
      <c r="X36" s="17"/>
      <c r="Y36" s="466">
        <v>100</v>
      </c>
      <c r="Z36" s="466">
        <v>100</v>
      </c>
      <c r="AA36" s="20">
        <v>92825050</v>
      </c>
      <c r="AB36" s="19">
        <f t="shared" si="5"/>
        <v>96.086216177049039</v>
      </c>
      <c r="AC36" s="20">
        <f t="shared" si="0"/>
        <v>92825050</v>
      </c>
      <c r="AD36" s="19">
        <f t="shared" si="3"/>
        <v>96.086216177049039</v>
      </c>
    </row>
    <row r="37" spans="2:30">
      <c r="B37" s="13">
        <f t="shared" si="1"/>
        <v>26</v>
      </c>
      <c r="C37" s="24" t="s">
        <v>63</v>
      </c>
      <c r="D37" s="21" t="s">
        <v>64</v>
      </c>
      <c r="E37" s="571"/>
      <c r="F37" s="523">
        <v>1</v>
      </c>
      <c r="G37" s="471" t="s">
        <v>1845</v>
      </c>
      <c r="H37" s="650">
        <v>0</v>
      </c>
      <c r="I37" s="471" t="s">
        <v>1845</v>
      </c>
      <c r="J37" s="15">
        <v>254164000</v>
      </c>
      <c r="K37" s="99">
        <v>254164000</v>
      </c>
      <c r="L37" s="13"/>
      <c r="M37" s="17"/>
      <c r="N37" s="17"/>
      <c r="O37" s="18"/>
      <c r="P37" s="17"/>
      <c r="Q37" s="17"/>
      <c r="R37" s="17"/>
      <c r="S37" s="17"/>
      <c r="T37" s="17"/>
      <c r="U37" s="17"/>
      <c r="V37" s="17"/>
      <c r="W37" s="17"/>
      <c r="X37" s="17"/>
      <c r="Y37" s="466">
        <v>100</v>
      </c>
      <c r="Z37" s="466">
        <v>100</v>
      </c>
      <c r="AA37" s="20">
        <v>232927000</v>
      </c>
      <c r="AB37" s="19">
        <f t="shared" si="5"/>
        <v>91.644371350781384</v>
      </c>
      <c r="AC37" s="20">
        <f>AA37</f>
        <v>232927000</v>
      </c>
      <c r="AD37" s="19">
        <f t="shared" si="3"/>
        <v>91.644371350781384</v>
      </c>
    </row>
    <row r="38" spans="2:30">
      <c r="B38" s="13">
        <f t="shared" si="1"/>
        <v>27</v>
      </c>
      <c r="C38" s="24" t="s">
        <v>65</v>
      </c>
      <c r="D38" s="21" t="s">
        <v>66</v>
      </c>
      <c r="E38" s="482"/>
      <c r="F38" s="523">
        <v>1</v>
      </c>
      <c r="G38" s="471" t="s">
        <v>1845</v>
      </c>
      <c r="H38" s="650">
        <v>0</v>
      </c>
      <c r="I38" s="471" t="s">
        <v>1845</v>
      </c>
      <c r="J38" s="15">
        <v>338679000</v>
      </c>
      <c r="K38" s="99">
        <v>338679000</v>
      </c>
      <c r="L38" s="13"/>
      <c r="M38" s="17"/>
      <c r="N38" s="17"/>
      <c r="O38" s="18"/>
      <c r="P38" s="18"/>
      <c r="Q38" s="17"/>
      <c r="R38" s="17"/>
      <c r="S38" s="17"/>
      <c r="T38" s="17"/>
      <c r="U38" s="17"/>
      <c r="V38" s="17"/>
      <c r="W38" s="17"/>
      <c r="X38" s="17"/>
      <c r="Y38" s="466">
        <v>100</v>
      </c>
      <c r="Z38" s="466">
        <v>100</v>
      </c>
      <c r="AA38" s="20">
        <v>314958000</v>
      </c>
      <c r="AB38" s="19">
        <f t="shared" si="5"/>
        <v>92.996022782634881</v>
      </c>
      <c r="AC38" s="20">
        <f t="shared" si="0"/>
        <v>314958000</v>
      </c>
      <c r="AD38" s="19">
        <f t="shared" si="3"/>
        <v>92.996022782634881</v>
      </c>
    </row>
    <row r="39" spans="2:30">
      <c r="B39" s="13">
        <f t="shared" si="1"/>
        <v>28</v>
      </c>
      <c r="C39" s="24" t="s">
        <v>67</v>
      </c>
      <c r="D39" s="21" t="s">
        <v>68</v>
      </c>
      <c r="E39" s="482"/>
      <c r="F39" s="523">
        <v>1</v>
      </c>
      <c r="G39" s="471" t="s">
        <v>1845</v>
      </c>
      <c r="H39" s="650">
        <v>0</v>
      </c>
      <c r="I39" s="471" t="s">
        <v>1845</v>
      </c>
      <c r="J39" s="15">
        <v>14935855000</v>
      </c>
      <c r="K39" s="99">
        <v>14935855000</v>
      </c>
      <c r="L39" s="13"/>
      <c r="M39" s="17"/>
      <c r="N39" s="17"/>
      <c r="O39" s="18"/>
      <c r="P39" s="18"/>
      <c r="Q39" s="17"/>
      <c r="R39" s="17"/>
      <c r="S39" s="17"/>
      <c r="T39" s="17"/>
      <c r="U39" s="17"/>
      <c r="V39" s="17"/>
      <c r="W39" s="17"/>
      <c r="X39" s="17"/>
      <c r="Y39" s="466">
        <v>100</v>
      </c>
      <c r="Z39" s="466">
        <v>100</v>
      </c>
      <c r="AA39" s="20">
        <v>14890695200</v>
      </c>
      <c r="AB39" s="19">
        <f t="shared" si="5"/>
        <v>99.697641681711559</v>
      </c>
      <c r="AC39" s="20">
        <f t="shared" si="0"/>
        <v>14890695200</v>
      </c>
      <c r="AD39" s="19">
        <f t="shared" si="3"/>
        <v>99.697641681711559</v>
      </c>
    </row>
    <row r="40" spans="2:30">
      <c r="B40" s="13">
        <f t="shared" si="1"/>
        <v>29</v>
      </c>
      <c r="C40" s="24" t="s">
        <v>69</v>
      </c>
      <c r="D40" s="21" t="s">
        <v>70</v>
      </c>
      <c r="E40" s="482"/>
      <c r="F40" s="523">
        <v>1</v>
      </c>
      <c r="G40" s="471" t="s">
        <v>1845</v>
      </c>
      <c r="H40" s="650">
        <v>0</v>
      </c>
      <c r="I40" s="471" t="s">
        <v>1845</v>
      </c>
      <c r="J40" s="15">
        <v>223100000</v>
      </c>
      <c r="K40" s="99">
        <v>388100000</v>
      </c>
      <c r="L40" s="13"/>
      <c r="M40" s="17"/>
      <c r="N40" s="17"/>
      <c r="O40" s="18"/>
      <c r="P40" s="18"/>
      <c r="Q40" s="17"/>
      <c r="R40" s="17"/>
      <c r="S40" s="17"/>
      <c r="T40" s="17"/>
      <c r="U40" s="17"/>
      <c r="V40" s="17"/>
      <c r="W40" s="17"/>
      <c r="X40" s="17"/>
      <c r="Y40" s="466">
        <v>100</v>
      </c>
      <c r="Z40" s="466">
        <v>100</v>
      </c>
      <c r="AA40" s="20">
        <v>388100000</v>
      </c>
      <c r="AB40" s="19">
        <f t="shared" si="5"/>
        <v>100</v>
      </c>
      <c r="AC40" s="20">
        <f t="shared" si="0"/>
        <v>388100000</v>
      </c>
      <c r="AD40" s="19">
        <f t="shared" si="3"/>
        <v>100</v>
      </c>
    </row>
    <row r="41" spans="2:30">
      <c r="B41" s="13">
        <f t="shared" si="1"/>
        <v>30</v>
      </c>
      <c r="C41" s="24" t="s">
        <v>71</v>
      </c>
      <c r="D41" s="21" t="s">
        <v>72</v>
      </c>
      <c r="E41" s="482"/>
      <c r="F41" s="523">
        <v>1</v>
      </c>
      <c r="G41" s="471" t="s">
        <v>1845</v>
      </c>
      <c r="H41" s="650">
        <v>0</v>
      </c>
      <c r="I41" s="471" t="s">
        <v>1845</v>
      </c>
      <c r="J41" s="15">
        <v>632469000</v>
      </c>
      <c r="K41" s="99">
        <v>668022000</v>
      </c>
      <c r="L41" s="13"/>
      <c r="M41" s="17"/>
      <c r="N41" s="17"/>
      <c r="O41" s="18"/>
      <c r="P41" s="18"/>
      <c r="Q41" s="17"/>
      <c r="R41" s="17"/>
      <c r="S41" s="17"/>
      <c r="T41" s="17"/>
      <c r="U41" s="17"/>
      <c r="V41" s="17"/>
      <c r="W41" s="17"/>
      <c r="X41" s="17"/>
      <c r="Y41" s="466">
        <v>100</v>
      </c>
      <c r="Z41" s="466">
        <v>100</v>
      </c>
      <c r="AA41" s="20">
        <v>627096500</v>
      </c>
      <c r="AB41" s="19">
        <f t="shared" si="5"/>
        <v>93.873629910392182</v>
      </c>
      <c r="AC41" s="20">
        <f t="shared" si="0"/>
        <v>627096500</v>
      </c>
      <c r="AD41" s="19">
        <f t="shared" si="3"/>
        <v>93.873629910392182</v>
      </c>
    </row>
    <row r="42" spans="2:30">
      <c r="B42" s="13">
        <f t="shared" si="1"/>
        <v>31</v>
      </c>
      <c r="C42" s="24" t="s">
        <v>73</v>
      </c>
      <c r="D42" s="21" t="s">
        <v>74</v>
      </c>
      <c r="E42" s="482"/>
      <c r="F42" s="523">
        <v>1</v>
      </c>
      <c r="G42" s="471" t="s">
        <v>1845</v>
      </c>
      <c r="H42" s="650">
        <v>0</v>
      </c>
      <c r="I42" s="471" t="s">
        <v>1845</v>
      </c>
      <c r="J42" s="15">
        <v>70698000</v>
      </c>
      <c r="K42" s="99">
        <v>70698000</v>
      </c>
      <c r="L42" s="13"/>
      <c r="M42" s="17"/>
      <c r="N42" s="17"/>
      <c r="O42" s="18"/>
      <c r="P42" s="18"/>
      <c r="Q42" s="17"/>
      <c r="R42" s="17"/>
      <c r="S42" s="17"/>
      <c r="T42" s="17"/>
      <c r="U42" s="17"/>
      <c r="V42" s="17"/>
      <c r="W42" s="17"/>
      <c r="X42" s="17"/>
      <c r="Y42" s="466">
        <v>100</v>
      </c>
      <c r="Z42" s="466">
        <v>100</v>
      </c>
      <c r="AA42" s="20">
        <v>70698000</v>
      </c>
      <c r="AB42" s="19">
        <f t="shared" si="5"/>
        <v>100</v>
      </c>
      <c r="AC42" s="20">
        <f t="shared" si="0"/>
        <v>70698000</v>
      </c>
      <c r="AD42" s="19">
        <f t="shared" si="3"/>
        <v>100</v>
      </c>
    </row>
    <row r="43" spans="2:30">
      <c r="B43" s="13">
        <f t="shared" si="1"/>
        <v>32</v>
      </c>
      <c r="C43" s="24" t="s">
        <v>75</v>
      </c>
      <c r="D43" s="21" t="s">
        <v>76</v>
      </c>
      <c r="E43" s="482"/>
      <c r="F43" s="523">
        <v>1</v>
      </c>
      <c r="G43" s="471" t="s">
        <v>1845</v>
      </c>
      <c r="H43" s="650">
        <v>0</v>
      </c>
      <c r="I43" s="471" t="s">
        <v>1845</v>
      </c>
      <c r="J43" s="15">
        <v>17810000</v>
      </c>
      <c r="K43" s="99">
        <v>17810000</v>
      </c>
      <c r="L43" s="13"/>
      <c r="M43" s="17"/>
      <c r="N43" s="17"/>
      <c r="O43" s="18"/>
      <c r="P43" s="18"/>
      <c r="Q43" s="17"/>
      <c r="R43" s="17"/>
      <c r="S43" s="17"/>
      <c r="T43" s="17"/>
      <c r="U43" s="17"/>
      <c r="V43" s="17"/>
      <c r="W43" s="17"/>
      <c r="X43" s="17"/>
      <c r="Y43" s="466">
        <v>100</v>
      </c>
      <c r="Z43" s="466">
        <v>100</v>
      </c>
      <c r="AA43" s="20">
        <v>5801607</v>
      </c>
      <c r="AB43" s="19">
        <f t="shared" si="5"/>
        <v>32.574997192588434</v>
      </c>
      <c r="AC43" s="20">
        <f t="shared" si="0"/>
        <v>5801607</v>
      </c>
      <c r="AD43" s="19">
        <f t="shared" si="3"/>
        <v>32.574997192588434</v>
      </c>
    </row>
    <row r="44" spans="2:30" ht="25.5">
      <c r="B44" s="13">
        <f t="shared" si="1"/>
        <v>33</v>
      </c>
      <c r="C44" s="24" t="s">
        <v>77</v>
      </c>
      <c r="D44" s="21" t="s">
        <v>78</v>
      </c>
      <c r="E44" s="482"/>
      <c r="F44" s="523">
        <v>1</v>
      </c>
      <c r="G44" s="471" t="s">
        <v>1845</v>
      </c>
      <c r="H44" s="650">
        <v>0</v>
      </c>
      <c r="I44" s="471" t="s">
        <v>1845</v>
      </c>
      <c r="J44" s="15">
        <v>31000000</v>
      </c>
      <c r="K44" s="99">
        <v>31000000</v>
      </c>
      <c r="L44" s="13"/>
      <c r="M44" s="17"/>
      <c r="N44" s="17"/>
      <c r="O44" s="18"/>
      <c r="P44" s="18"/>
      <c r="Q44" s="17"/>
      <c r="R44" s="17"/>
      <c r="S44" s="17"/>
      <c r="T44" s="17"/>
      <c r="U44" s="17"/>
      <c r="V44" s="17"/>
      <c r="W44" s="17"/>
      <c r="X44" s="17"/>
      <c r="Y44" s="466">
        <v>100</v>
      </c>
      <c r="Z44" s="466">
        <v>100</v>
      </c>
      <c r="AA44" s="20">
        <v>30000000</v>
      </c>
      <c r="AB44" s="19">
        <f t="shared" si="5"/>
        <v>96.774193548387103</v>
      </c>
      <c r="AC44" s="20">
        <f t="shared" si="0"/>
        <v>30000000</v>
      </c>
      <c r="AD44" s="19">
        <f t="shared" si="3"/>
        <v>96.774193548387103</v>
      </c>
    </row>
    <row r="45" spans="2:30" ht="25.5">
      <c r="B45" s="13">
        <f t="shared" si="1"/>
        <v>34</v>
      </c>
      <c r="C45" s="24" t="s">
        <v>79</v>
      </c>
      <c r="D45" s="21" t="s">
        <v>80</v>
      </c>
      <c r="E45" s="482"/>
      <c r="F45" s="523">
        <v>1</v>
      </c>
      <c r="G45" s="471" t="s">
        <v>1845</v>
      </c>
      <c r="H45" s="650">
        <v>0</v>
      </c>
      <c r="I45" s="471" t="s">
        <v>1845</v>
      </c>
      <c r="J45" s="15">
        <v>50000000</v>
      </c>
      <c r="K45" s="99">
        <v>50000000</v>
      </c>
      <c r="L45" s="13"/>
      <c r="M45" s="17"/>
      <c r="N45" s="17"/>
      <c r="O45" s="18"/>
      <c r="P45" s="18"/>
      <c r="Q45" s="17"/>
      <c r="R45" s="17"/>
      <c r="S45" s="17"/>
      <c r="T45" s="17"/>
      <c r="U45" s="17"/>
      <c r="V45" s="17"/>
      <c r="W45" s="17"/>
      <c r="X45" s="17"/>
      <c r="Y45" s="466">
        <v>100</v>
      </c>
      <c r="Z45" s="466">
        <v>100</v>
      </c>
      <c r="AA45" s="20">
        <v>40484900</v>
      </c>
      <c r="AB45" s="19">
        <f t="shared" si="5"/>
        <v>80.969800000000006</v>
      </c>
      <c r="AC45" s="20">
        <f t="shared" si="0"/>
        <v>40484900</v>
      </c>
      <c r="AD45" s="19">
        <f t="shared" si="3"/>
        <v>80.969800000000006</v>
      </c>
    </row>
    <row r="46" spans="2:30" ht="25.5">
      <c r="B46" s="13">
        <f>B45+1</f>
        <v>35</v>
      </c>
      <c r="C46" s="24" t="s">
        <v>81</v>
      </c>
      <c r="D46" s="21" t="s">
        <v>82</v>
      </c>
      <c r="E46" s="482"/>
      <c r="F46" s="523">
        <v>1</v>
      </c>
      <c r="G46" s="471" t="s">
        <v>1845</v>
      </c>
      <c r="H46" s="650">
        <v>0</v>
      </c>
      <c r="I46" s="471" t="s">
        <v>1845</v>
      </c>
      <c r="J46" s="15">
        <v>40000000</v>
      </c>
      <c r="K46" s="99">
        <v>40000000</v>
      </c>
      <c r="L46" s="13"/>
      <c r="M46" s="17" t="s">
        <v>1</v>
      </c>
      <c r="N46" s="17"/>
      <c r="O46" s="18"/>
      <c r="P46" s="18"/>
      <c r="Q46" s="17"/>
      <c r="R46" s="17"/>
      <c r="S46" s="17"/>
      <c r="T46" s="17"/>
      <c r="U46" s="17"/>
      <c r="V46" s="17"/>
      <c r="W46" s="17"/>
      <c r="X46" s="17"/>
      <c r="Y46" s="466">
        <v>100</v>
      </c>
      <c r="Z46" s="466">
        <v>100</v>
      </c>
      <c r="AA46" s="20">
        <v>40000000</v>
      </c>
      <c r="AB46" s="19">
        <f t="shared" si="5"/>
        <v>100</v>
      </c>
      <c r="AC46" s="20">
        <f t="shared" si="0"/>
        <v>40000000</v>
      </c>
      <c r="AD46" s="19">
        <f t="shared" si="3"/>
        <v>100</v>
      </c>
    </row>
    <row r="47" spans="2:30" ht="25.5">
      <c r="B47" s="13">
        <f t="shared" ref="B47:B49" si="6">B46+1</f>
        <v>36</v>
      </c>
      <c r="C47" s="24" t="s">
        <v>2247</v>
      </c>
      <c r="D47" s="75" t="s">
        <v>2248</v>
      </c>
      <c r="E47" s="482"/>
      <c r="F47" s="523">
        <v>1</v>
      </c>
      <c r="G47" s="471" t="s">
        <v>1845</v>
      </c>
      <c r="H47" s="650">
        <v>0</v>
      </c>
      <c r="I47" s="471" t="s">
        <v>1845</v>
      </c>
      <c r="J47" s="15"/>
      <c r="K47" s="99">
        <v>20000000</v>
      </c>
      <c r="L47" s="13"/>
      <c r="M47" s="17"/>
      <c r="N47" s="17"/>
      <c r="O47" s="18"/>
      <c r="P47" s="18"/>
      <c r="Q47" s="17"/>
      <c r="R47" s="17"/>
      <c r="S47" s="17"/>
      <c r="T47" s="17"/>
      <c r="U47" s="17"/>
      <c r="V47" s="17"/>
      <c r="W47" s="17"/>
      <c r="X47" s="17"/>
      <c r="Y47" s="466">
        <v>100</v>
      </c>
      <c r="Z47" s="466">
        <v>100</v>
      </c>
      <c r="AA47" s="20">
        <v>20000000</v>
      </c>
      <c r="AB47" s="19">
        <f t="shared" si="5"/>
        <v>100</v>
      </c>
      <c r="AC47" s="20">
        <f t="shared" si="0"/>
        <v>20000000</v>
      </c>
      <c r="AD47" s="19">
        <f t="shared" si="3"/>
        <v>100</v>
      </c>
    </row>
    <row r="48" spans="2:30" ht="25.5">
      <c r="B48" s="13">
        <f t="shared" si="6"/>
        <v>37</v>
      </c>
      <c r="C48" s="24" t="s">
        <v>2249</v>
      </c>
      <c r="D48" s="75" t="s">
        <v>2250</v>
      </c>
      <c r="E48" s="482"/>
      <c r="F48" s="523">
        <v>1</v>
      </c>
      <c r="G48" s="471" t="s">
        <v>1845</v>
      </c>
      <c r="H48" s="650">
        <v>0</v>
      </c>
      <c r="I48" s="471" t="s">
        <v>1845</v>
      </c>
      <c r="J48" s="15"/>
      <c r="K48" s="99">
        <v>45000000</v>
      </c>
      <c r="L48" s="13"/>
      <c r="M48" s="17"/>
      <c r="N48" s="17"/>
      <c r="O48" s="18"/>
      <c r="P48" s="18"/>
      <c r="Q48" s="17"/>
      <c r="R48" s="17"/>
      <c r="S48" s="17"/>
      <c r="T48" s="17"/>
      <c r="U48" s="17"/>
      <c r="V48" s="17"/>
      <c r="W48" s="17"/>
      <c r="X48" s="17"/>
      <c r="Y48" s="466">
        <v>100</v>
      </c>
      <c r="Z48" s="466">
        <v>100</v>
      </c>
      <c r="AA48" s="20">
        <v>45000000</v>
      </c>
      <c r="AB48" s="19">
        <f t="shared" si="5"/>
        <v>100</v>
      </c>
      <c r="AC48" s="20">
        <f t="shared" si="0"/>
        <v>45000000</v>
      </c>
      <c r="AD48" s="19">
        <f t="shared" si="3"/>
        <v>100</v>
      </c>
    </row>
    <row r="49" spans="2:30" ht="25.5">
      <c r="B49" s="13">
        <f t="shared" si="6"/>
        <v>38</v>
      </c>
      <c r="C49" s="24" t="s">
        <v>83</v>
      </c>
      <c r="D49" s="21" t="s">
        <v>84</v>
      </c>
      <c r="E49" s="482"/>
      <c r="F49" s="523">
        <v>1</v>
      </c>
      <c r="G49" s="471" t="s">
        <v>1845</v>
      </c>
      <c r="H49" s="650">
        <v>0</v>
      </c>
      <c r="I49" s="471" t="s">
        <v>1845</v>
      </c>
      <c r="J49" s="15">
        <v>2275170000</v>
      </c>
      <c r="K49" s="99">
        <v>3024900000</v>
      </c>
      <c r="L49" s="13"/>
      <c r="M49" s="17"/>
      <c r="N49" s="17"/>
      <c r="O49" s="18"/>
      <c r="P49" s="18"/>
      <c r="Q49" s="17"/>
      <c r="R49" s="17"/>
      <c r="S49" s="17"/>
      <c r="T49" s="17"/>
      <c r="U49" s="17"/>
      <c r="V49" s="17"/>
      <c r="W49" s="17"/>
      <c r="X49" s="17"/>
      <c r="Y49" s="466">
        <v>100</v>
      </c>
      <c r="Z49" s="466">
        <v>100</v>
      </c>
      <c r="AA49" s="20">
        <v>2273716000</v>
      </c>
      <c r="AB49" s="19">
        <f t="shared" si="5"/>
        <v>75.166650137194608</v>
      </c>
      <c r="AC49" s="20">
        <f t="shared" si="0"/>
        <v>2273716000</v>
      </c>
      <c r="AD49" s="19">
        <f t="shared" si="3"/>
        <v>75.166650137194608</v>
      </c>
    </row>
    <row r="50" spans="2:30" ht="25.5">
      <c r="B50" s="13">
        <f t="shared" si="1"/>
        <v>39</v>
      </c>
      <c r="C50" s="24" t="s">
        <v>85</v>
      </c>
      <c r="D50" s="21" t="s">
        <v>86</v>
      </c>
      <c r="E50" s="482"/>
      <c r="F50" s="523">
        <v>1</v>
      </c>
      <c r="G50" s="471" t="s">
        <v>1845</v>
      </c>
      <c r="H50" s="650">
        <v>0</v>
      </c>
      <c r="I50" s="471" t="s">
        <v>1845</v>
      </c>
      <c r="J50" s="15">
        <v>1542950000</v>
      </c>
      <c r="K50" s="99">
        <v>2216450000</v>
      </c>
      <c r="L50" s="13"/>
      <c r="M50" s="17"/>
      <c r="N50" s="17"/>
      <c r="O50" s="18"/>
      <c r="P50" s="18"/>
      <c r="Q50" s="17"/>
      <c r="R50" s="17"/>
      <c r="S50" s="17"/>
      <c r="T50" s="17"/>
      <c r="U50" s="17"/>
      <c r="V50" s="17"/>
      <c r="W50" s="17"/>
      <c r="X50" s="17"/>
      <c r="Y50" s="466">
        <v>100</v>
      </c>
      <c r="Z50" s="466">
        <v>100</v>
      </c>
      <c r="AA50" s="20">
        <v>1535832000</v>
      </c>
      <c r="AB50" s="19">
        <f t="shared" si="5"/>
        <v>69.29242707933858</v>
      </c>
      <c r="AC50" s="20">
        <f t="shared" si="0"/>
        <v>1535832000</v>
      </c>
      <c r="AD50" s="19">
        <f t="shared" si="3"/>
        <v>69.29242707933858</v>
      </c>
    </row>
    <row r="51" spans="2:30">
      <c r="B51" s="13">
        <f t="shared" si="1"/>
        <v>40</v>
      </c>
      <c r="C51" s="24" t="s">
        <v>87</v>
      </c>
      <c r="D51" s="21" t="s">
        <v>88</v>
      </c>
      <c r="E51" s="482"/>
      <c r="F51" s="523">
        <v>1</v>
      </c>
      <c r="G51" s="471" t="s">
        <v>1845</v>
      </c>
      <c r="H51" s="650">
        <v>0</v>
      </c>
      <c r="I51" s="471" t="s">
        <v>1845</v>
      </c>
      <c r="J51" s="15">
        <v>55000000</v>
      </c>
      <c r="K51" s="99">
        <v>55000000</v>
      </c>
      <c r="L51" s="13"/>
      <c r="M51" s="17"/>
      <c r="N51" s="17"/>
      <c r="O51" s="18"/>
      <c r="P51" s="17"/>
      <c r="Q51" s="17"/>
      <c r="R51" s="17"/>
      <c r="S51" s="17"/>
      <c r="T51" s="17"/>
      <c r="U51" s="17"/>
      <c r="V51" s="17"/>
      <c r="W51" s="17"/>
      <c r="X51" s="17"/>
      <c r="Y51" s="466">
        <v>100</v>
      </c>
      <c r="Z51" s="466">
        <v>100</v>
      </c>
      <c r="AA51" s="20">
        <v>54975000</v>
      </c>
      <c r="AB51" s="19">
        <f t="shared" si="5"/>
        <v>99.954545454545453</v>
      </c>
      <c r="AC51" s="20">
        <f t="shared" si="0"/>
        <v>54975000</v>
      </c>
      <c r="AD51" s="19">
        <f t="shared" si="3"/>
        <v>99.954545454545453</v>
      </c>
    </row>
    <row r="52" spans="2:30" ht="25.5">
      <c r="B52" s="13">
        <f t="shared" si="1"/>
        <v>41</v>
      </c>
      <c r="C52" s="24" t="s">
        <v>89</v>
      </c>
      <c r="D52" s="21" t="s">
        <v>90</v>
      </c>
      <c r="E52" s="482"/>
      <c r="F52" s="523">
        <v>1</v>
      </c>
      <c r="G52" s="471" t="s">
        <v>1845</v>
      </c>
      <c r="H52" s="650">
        <v>0</v>
      </c>
      <c r="I52" s="471" t="s">
        <v>1845</v>
      </c>
      <c r="J52" s="15">
        <v>19990000</v>
      </c>
      <c r="K52" s="99">
        <v>19990000</v>
      </c>
      <c r="L52" s="13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466">
        <v>100</v>
      </c>
      <c r="Z52" s="466">
        <v>100</v>
      </c>
      <c r="AA52" s="20">
        <v>15110272</v>
      </c>
      <c r="AB52" s="19">
        <f t="shared" si="5"/>
        <v>75.589154577288639</v>
      </c>
      <c r="AC52" s="20">
        <f t="shared" si="0"/>
        <v>15110272</v>
      </c>
      <c r="AD52" s="19">
        <f t="shared" si="3"/>
        <v>75.589154577288639</v>
      </c>
    </row>
    <row r="53" spans="2:30">
      <c r="B53" s="13">
        <f t="shared" si="1"/>
        <v>42</v>
      </c>
      <c r="C53" s="24" t="s">
        <v>91</v>
      </c>
      <c r="D53" s="21" t="s">
        <v>92</v>
      </c>
      <c r="E53" s="482"/>
      <c r="F53" s="523">
        <v>1</v>
      </c>
      <c r="G53" s="471" t="s">
        <v>1845</v>
      </c>
      <c r="H53" s="650">
        <v>0</v>
      </c>
      <c r="I53" s="471" t="s">
        <v>1845</v>
      </c>
      <c r="J53" s="15">
        <v>15000000</v>
      </c>
      <c r="K53" s="99">
        <v>47000000</v>
      </c>
      <c r="L53" s="13"/>
      <c r="M53" s="17"/>
      <c r="N53" s="17"/>
      <c r="O53" s="18"/>
      <c r="P53" s="18"/>
      <c r="Q53" s="17"/>
      <c r="R53" s="17"/>
      <c r="S53" s="17"/>
      <c r="T53" s="17"/>
      <c r="U53" s="17"/>
      <c r="V53" s="17"/>
      <c r="W53" s="17"/>
      <c r="X53" s="17"/>
      <c r="Y53" s="466">
        <v>100</v>
      </c>
      <c r="Z53" s="466">
        <v>100</v>
      </c>
      <c r="AA53" s="20">
        <v>41490000</v>
      </c>
      <c r="AB53" s="19">
        <f t="shared" si="5"/>
        <v>88.276595744680847</v>
      </c>
      <c r="AC53" s="20">
        <f t="shared" si="0"/>
        <v>41490000</v>
      </c>
      <c r="AD53" s="19">
        <f t="shared" si="3"/>
        <v>88.276595744680847</v>
      </c>
    </row>
    <row r="54" spans="2:30">
      <c r="B54" s="13">
        <f t="shared" si="1"/>
        <v>43</v>
      </c>
      <c r="C54" s="24" t="s">
        <v>93</v>
      </c>
      <c r="D54" s="21" t="s">
        <v>94</v>
      </c>
      <c r="E54" s="482"/>
      <c r="F54" s="523">
        <v>1</v>
      </c>
      <c r="G54" s="471" t="s">
        <v>1845</v>
      </c>
      <c r="H54" s="650">
        <v>0</v>
      </c>
      <c r="I54" s="471" t="s">
        <v>1845</v>
      </c>
      <c r="J54" s="15">
        <v>4900000000</v>
      </c>
      <c r="K54" s="99">
        <v>4900000000</v>
      </c>
      <c r="L54" s="13"/>
      <c r="M54" s="17"/>
      <c r="N54" s="17"/>
      <c r="O54" s="18"/>
      <c r="P54" s="18"/>
      <c r="Q54" s="17"/>
      <c r="R54" s="17"/>
      <c r="S54" s="17"/>
      <c r="T54" s="17"/>
      <c r="U54" s="17"/>
      <c r="V54" s="17"/>
      <c r="W54" s="17"/>
      <c r="X54" s="17"/>
      <c r="Y54" s="466">
        <v>100</v>
      </c>
      <c r="Z54" s="466">
        <v>100</v>
      </c>
      <c r="AA54" s="20">
        <v>3817028856</v>
      </c>
      <c r="AB54" s="19">
        <f t="shared" si="5"/>
        <v>77.898548081632654</v>
      </c>
      <c r="AC54" s="20">
        <f t="shared" si="0"/>
        <v>3817028856</v>
      </c>
      <c r="AD54" s="19">
        <f t="shared" si="3"/>
        <v>77.898548081632654</v>
      </c>
    </row>
    <row r="55" spans="2:30" ht="25.5">
      <c r="B55" s="13">
        <f t="shared" si="1"/>
        <v>44</v>
      </c>
      <c r="C55" s="24" t="s">
        <v>95</v>
      </c>
      <c r="D55" s="21" t="s">
        <v>96</v>
      </c>
      <c r="E55" s="482"/>
      <c r="F55" s="523">
        <v>1</v>
      </c>
      <c r="G55" s="471" t="s">
        <v>1845</v>
      </c>
      <c r="H55" s="650">
        <v>0</v>
      </c>
      <c r="I55" s="471" t="s">
        <v>1845</v>
      </c>
      <c r="J55" s="15">
        <v>430890000</v>
      </c>
      <c r="K55" s="99">
        <v>315000000</v>
      </c>
      <c r="L55" s="13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466">
        <v>100</v>
      </c>
      <c r="Z55" s="466">
        <v>100</v>
      </c>
      <c r="AA55" s="20">
        <v>314500000</v>
      </c>
      <c r="AB55" s="19">
        <f t="shared" si="5"/>
        <v>99.841269841269849</v>
      </c>
      <c r="AC55" s="20">
        <f t="shared" si="0"/>
        <v>314500000</v>
      </c>
      <c r="AD55" s="19">
        <f t="shared" si="3"/>
        <v>99.841269841269849</v>
      </c>
    </row>
    <row r="56" spans="2:30" ht="25.5">
      <c r="B56" s="13">
        <f t="shared" si="1"/>
        <v>45</v>
      </c>
      <c r="C56" s="24" t="s">
        <v>2251</v>
      </c>
      <c r="D56" s="75" t="s">
        <v>2253</v>
      </c>
      <c r="E56" s="482"/>
      <c r="F56" s="523">
        <v>1</v>
      </c>
      <c r="G56" s="471" t="s">
        <v>1845</v>
      </c>
      <c r="H56" s="650">
        <v>0</v>
      </c>
      <c r="I56" s="471" t="s">
        <v>1845</v>
      </c>
      <c r="J56" s="15"/>
      <c r="K56" s="99">
        <v>4655247000</v>
      </c>
      <c r="L56" s="13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466">
        <v>100</v>
      </c>
      <c r="Z56" s="466">
        <v>100</v>
      </c>
      <c r="AA56" s="20">
        <v>2277064560</v>
      </c>
      <c r="AB56" s="19">
        <f t="shared" si="5"/>
        <v>48.913936467817926</v>
      </c>
      <c r="AC56" s="20">
        <f t="shared" si="0"/>
        <v>2277064560</v>
      </c>
      <c r="AD56" s="19">
        <f t="shared" si="3"/>
        <v>48.913936467817926</v>
      </c>
    </row>
    <row r="57" spans="2:30">
      <c r="B57" s="13">
        <f t="shared" si="1"/>
        <v>46</v>
      </c>
      <c r="C57" s="24" t="s">
        <v>2252</v>
      </c>
      <c r="D57" s="58" t="s">
        <v>2254</v>
      </c>
      <c r="E57" s="482"/>
      <c r="F57" s="523">
        <v>1</v>
      </c>
      <c r="G57" s="471" t="s">
        <v>1845</v>
      </c>
      <c r="H57" s="650">
        <v>0</v>
      </c>
      <c r="I57" s="471" t="s">
        <v>1845</v>
      </c>
      <c r="J57" s="15"/>
      <c r="K57" s="99">
        <v>3653830000</v>
      </c>
      <c r="L57" s="13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466">
        <v>100</v>
      </c>
      <c r="Z57" s="466">
        <v>100</v>
      </c>
      <c r="AA57" s="20">
        <v>1850494480</v>
      </c>
      <c r="AB57" s="19">
        <f t="shared" si="5"/>
        <v>50.645335989906485</v>
      </c>
      <c r="AC57" s="20">
        <f t="shared" si="0"/>
        <v>1850494480</v>
      </c>
      <c r="AD57" s="19">
        <f t="shared" si="3"/>
        <v>50.645335989906485</v>
      </c>
    </row>
    <row r="58" spans="2:30" ht="25.5">
      <c r="B58" s="13">
        <f t="shared" si="1"/>
        <v>47</v>
      </c>
      <c r="C58" s="24" t="s">
        <v>97</v>
      </c>
      <c r="D58" s="21" t="s">
        <v>98</v>
      </c>
      <c r="E58" s="482"/>
      <c r="F58" s="523">
        <v>1</v>
      </c>
      <c r="G58" s="471" t="s">
        <v>1845</v>
      </c>
      <c r="H58" s="650">
        <v>0</v>
      </c>
      <c r="I58" s="471" t="s">
        <v>1845</v>
      </c>
      <c r="J58" s="15">
        <v>338031000</v>
      </c>
      <c r="K58" s="99">
        <v>338031000</v>
      </c>
      <c r="L58" s="13"/>
      <c r="M58" s="17"/>
      <c r="N58" s="17"/>
      <c r="O58" s="18"/>
      <c r="P58" s="18"/>
      <c r="Q58" s="17"/>
      <c r="R58" s="17"/>
      <c r="S58" s="17"/>
      <c r="T58" s="17"/>
      <c r="U58" s="17"/>
      <c r="V58" s="17"/>
      <c r="W58" s="17"/>
      <c r="X58" s="17"/>
      <c r="Y58" s="466">
        <v>100</v>
      </c>
      <c r="Z58" s="466">
        <v>100</v>
      </c>
      <c r="AA58" s="20">
        <v>279701000</v>
      </c>
      <c r="AB58" s="19">
        <f t="shared" si="5"/>
        <v>82.744186184107377</v>
      </c>
      <c r="AC58" s="20">
        <f t="shared" si="0"/>
        <v>279701000</v>
      </c>
      <c r="AD58" s="19">
        <f t="shared" si="3"/>
        <v>82.744186184107377</v>
      </c>
    </row>
    <row r="59" spans="2:30" ht="25.5">
      <c r="B59" s="13">
        <f t="shared" si="1"/>
        <v>48</v>
      </c>
      <c r="C59" s="24" t="s">
        <v>99</v>
      </c>
      <c r="D59" s="21" t="s">
        <v>100</v>
      </c>
      <c r="E59" s="482"/>
      <c r="F59" s="523">
        <v>1</v>
      </c>
      <c r="G59" s="471" t="s">
        <v>1845</v>
      </c>
      <c r="H59" s="650">
        <v>0</v>
      </c>
      <c r="I59" s="471" t="s">
        <v>1845</v>
      </c>
      <c r="J59" s="15">
        <v>1250000000</v>
      </c>
      <c r="K59" s="99">
        <v>1250000000</v>
      </c>
      <c r="L59" s="13"/>
      <c r="M59" s="17"/>
      <c r="N59" s="17"/>
      <c r="O59" s="18"/>
      <c r="P59" s="18"/>
      <c r="Q59" s="17"/>
      <c r="R59" s="17"/>
      <c r="S59" s="17"/>
      <c r="T59" s="17"/>
      <c r="U59" s="17"/>
      <c r="V59" s="17"/>
      <c r="W59" s="17"/>
      <c r="X59" s="17"/>
      <c r="Y59" s="466">
        <v>100</v>
      </c>
      <c r="Z59" s="466">
        <v>100</v>
      </c>
      <c r="AA59" s="20">
        <v>714728000</v>
      </c>
      <c r="AB59" s="19">
        <f t="shared" si="5"/>
        <v>57.178240000000002</v>
      </c>
      <c r="AC59" s="20">
        <f t="shared" si="0"/>
        <v>714728000</v>
      </c>
      <c r="AD59" s="19">
        <f t="shared" si="3"/>
        <v>57.178240000000002</v>
      </c>
    </row>
    <row r="60" spans="2:30" ht="25.5">
      <c r="B60" s="13">
        <f t="shared" si="1"/>
        <v>49</v>
      </c>
      <c r="C60" s="24" t="s">
        <v>101</v>
      </c>
      <c r="D60" s="21" t="s">
        <v>102</v>
      </c>
      <c r="E60" s="482"/>
      <c r="F60" s="523">
        <v>1</v>
      </c>
      <c r="G60" s="471" t="s">
        <v>1845</v>
      </c>
      <c r="H60" s="650">
        <v>0</v>
      </c>
      <c r="I60" s="471" t="s">
        <v>1845</v>
      </c>
      <c r="J60" s="15">
        <v>125000000</v>
      </c>
      <c r="K60" s="99">
        <v>125000000</v>
      </c>
      <c r="L60" s="13"/>
      <c r="M60" s="17"/>
      <c r="N60" s="17"/>
      <c r="O60" s="18"/>
      <c r="P60" s="18"/>
      <c r="Q60" s="17"/>
      <c r="R60" s="17"/>
      <c r="S60" s="17"/>
      <c r="T60" s="17"/>
      <c r="U60" s="17"/>
      <c r="V60" s="17"/>
      <c r="W60" s="17"/>
      <c r="X60" s="17"/>
      <c r="Y60" s="466">
        <v>100</v>
      </c>
      <c r="Z60" s="466">
        <v>100</v>
      </c>
      <c r="AA60" s="20">
        <v>85492100</v>
      </c>
      <c r="AB60" s="19">
        <f t="shared" si="5"/>
        <v>68.393680000000003</v>
      </c>
      <c r="AC60" s="20">
        <f t="shared" si="0"/>
        <v>85492100</v>
      </c>
      <c r="AD60" s="19">
        <f t="shared" si="3"/>
        <v>68.393680000000003</v>
      </c>
    </row>
    <row r="61" spans="2:30">
      <c r="B61" s="13">
        <f t="shared" si="1"/>
        <v>50</v>
      </c>
      <c r="C61" s="24" t="s">
        <v>103</v>
      </c>
      <c r="D61" s="21" t="s">
        <v>104</v>
      </c>
      <c r="E61" s="482"/>
      <c r="F61" s="523">
        <v>1</v>
      </c>
      <c r="G61" s="471" t="s">
        <v>1845</v>
      </c>
      <c r="H61" s="650">
        <v>0</v>
      </c>
      <c r="I61" s="471" t="s">
        <v>1845</v>
      </c>
      <c r="J61" s="15">
        <v>15000000</v>
      </c>
      <c r="K61" s="99">
        <v>15000000</v>
      </c>
      <c r="L61" s="13"/>
      <c r="M61" s="17"/>
      <c r="N61" s="17"/>
      <c r="O61" s="18"/>
      <c r="P61" s="18"/>
      <c r="Q61" s="17"/>
      <c r="R61" s="17"/>
      <c r="S61" s="17"/>
      <c r="T61" s="17"/>
      <c r="U61" s="17"/>
      <c r="V61" s="17"/>
      <c r="W61" s="17"/>
      <c r="X61" s="17"/>
      <c r="Y61" s="466">
        <v>100</v>
      </c>
      <c r="Z61" s="466">
        <v>100</v>
      </c>
      <c r="AA61" s="20">
        <v>15000000</v>
      </c>
      <c r="AB61" s="19">
        <f t="shared" si="5"/>
        <v>100</v>
      </c>
      <c r="AC61" s="20">
        <f t="shared" si="0"/>
        <v>15000000</v>
      </c>
      <c r="AD61" s="19">
        <f t="shared" si="3"/>
        <v>100</v>
      </c>
    </row>
    <row r="62" spans="2:30" ht="25.5">
      <c r="B62" s="13">
        <f t="shared" si="1"/>
        <v>51</v>
      </c>
      <c r="C62" s="24" t="s">
        <v>2255</v>
      </c>
      <c r="D62" s="75" t="s">
        <v>2258</v>
      </c>
      <c r="E62" s="482"/>
      <c r="F62" s="523">
        <v>1</v>
      </c>
      <c r="G62" s="471" t="s">
        <v>1845</v>
      </c>
      <c r="H62" s="650">
        <v>0</v>
      </c>
      <c r="I62" s="471" t="s">
        <v>1845</v>
      </c>
      <c r="J62" s="15"/>
      <c r="K62" s="99">
        <v>2053923000</v>
      </c>
      <c r="L62" s="13"/>
      <c r="M62" s="17"/>
      <c r="N62" s="17"/>
      <c r="O62" s="18"/>
      <c r="P62" s="18"/>
      <c r="Q62" s="17"/>
      <c r="R62" s="17"/>
      <c r="S62" s="17"/>
      <c r="T62" s="17"/>
      <c r="U62" s="17"/>
      <c r="V62" s="17"/>
      <c r="W62" s="17"/>
      <c r="X62" s="17"/>
      <c r="Y62" s="466">
        <v>10</v>
      </c>
      <c r="Z62" s="466">
        <v>5</v>
      </c>
      <c r="AA62" s="20"/>
      <c r="AB62" s="19">
        <f t="shared" si="5"/>
        <v>0</v>
      </c>
      <c r="AC62" s="20"/>
      <c r="AD62" s="19">
        <f t="shared" si="3"/>
        <v>0</v>
      </c>
    </row>
    <row r="63" spans="2:30" ht="25.5">
      <c r="B63" s="13">
        <f t="shared" si="1"/>
        <v>52</v>
      </c>
      <c r="C63" s="24" t="s">
        <v>2256</v>
      </c>
      <c r="D63" s="75" t="s">
        <v>2259</v>
      </c>
      <c r="E63" s="482"/>
      <c r="F63" s="523">
        <v>1</v>
      </c>
      <c r="G63" s="471" t="s">
        <v>1845</v>
      </c>
      <c r="H63" s="650">
        <v>0</v>
      </c>
      <c r="I63" s="471" t="s">
        <v>1845</v>
      </c>
      <c r="J63" s="15"/>
      <c r="K63" s="99">
        <v>2719364000</v>
      </c>
      <c r="L63" s="13"/>
      <c r="M63" s="17"/>
      <c r="N63" s="17"/>
      <c r="O63" s="18"/>
      <c r="P63" s="18"/>
      <c r="Q63" s="17"/>
      <c r="R63" s="17"/>
      <c r="S63" s="17"/>
      <c r="T63" s="17"/>
      <c r="U63" s="17"/>
      <c r="V63" s="17"/>
      <c r="W63" s="17"/>
      <c r="X63" s="17"/>
      <c r="Y63" s="466">
        <v>10</v>
      </c>
      <c r="Z63" s="466">
        <v>5</v>
      </c>
      <c r="AA63" s="20"/>
      <c r="AB63" s="19">
        <f t="shared" si="5"/>
        <v>0</v>
      </c>
      <c r="AC63" s="20"/>
      <c r="AD63" s="19">
        <f t="shared" si="3"/>
        <v>0</v>
      </c>
    </row>
    <row r="64" spans="2:30" ht="25.5">
      <c r="B64" s="13">
        <f t="shared" si="1"/>
        <v>53</v>
      </c>
      <c r="C64" s="24" t="s">
        <v>2257</v>
      </c>
      <c r="D64" s="75" t="s">
        <v>2260</v>
      </c>
      <c r="E64" s="482"/>
      <c r="F64" s="523">
        <v>1</v>
      </c>
      <c r="G64" s="471" t="s">
        <v>1845</v>
      </c>
      <c r="H64" s="650">
        <v>0</v>
      </c>
      <c r="I64" s="471" t="s">
        <v>1845</v>
      </c>
      <c r="J64" s="15"/>
      <c r="K64" s="99">
        <v>150000000</v>
      </c>
      <c r="L64" s="13"/>
      <c r="M64" s="17"/>
      <c r="N64" s="17"/>
      <c r="O64" s="18"/>
      <c r="P64" s="18"/>
      <c r="Q64" s="17"/>
      <c r="R64" s="17"/>
      <c r="S64" s="17"/>
      <c r="T64" s="17"/>
      <c r="U64" s="17"/>
      <c r="V64" s="17"/>
      <c r="W64" s="17"/>
      <c r="X64" s="17"/>
      <c r="Y64" s="466">
        <v>0</v>
      </c>
      <c r="Z64" s="466">
        <v>0</v>
      </c>
      <c r="AA64" s="20"/>
      <c r="AB64" s="19">
        <f t="shared" si="5"/>
        <v>0</v>
      </c>
      <c r="AC64" s="20"/>
      <c r="AD64" s="19">
        <f t="shared" si="3"/>
        <v>0</v>
      </c>
    </row>
    <row r="65" spans="2:30">
      <c r="B65" s="13">
        <f t="shared" si="1"/>
        <v>54</v>
      </c>
      <c r="C65" s="24" t="s">
        <v>2261</v>
      </c>
      <c r="D65" s="58" t="s">
        <v>2264</v>
      </c>
      <c r="E65" s="482"/>
      <c r="F65" s="523">
        <v>1</v>
      </c>
      <c r="G65" s="471" t="s">
        <v>1845</v>
      </c>
      <c r="H65" s="650">
        <v>0</v>
      </c>
      <c r="I65" s="471" t="s">
        <v>1845</v>
      </c>
      <c r="J65" s="15"/>
      <c r="K65" s="99">
        <v>239080000</v>
      </c>
      <c r="L65" s="13"/>
      <c r="M65" s="17"/>
      <c r="N65" s="17"/>
      <c r="O65" s="18"/>
      <c r="P65" s="18"/>
      <c r="Q65" s="17"/>
      <c r="R65" s="17"/>
      <c r="S65" s="17"/>
      <c r="T65" s="17"/>
      <c r="U65" s="17"/>
      <c r="V65" s="17"/>
      <c r="W65" s="17"/>
      <c r="X65" s="17"/>
      <c r="Y65" s="466">
        <v>100</v>
      </c>
      <c r="Z65" s="466">
        <v>100</v>
      </c>
      <c r="AA65" s="20">
        <v>238880000</v>
      </c>
      <c r="AB65" s="19">
        <f t="shared" si="5"/>
        <v>99.916345992973064</v>
      </c>
      <c r="AC65" s="20">
        <f>AA65</f>
        <v>238880000</v>
      </c>
      <c r="AD65" s="19">
        <f t="shared" si="3"/>
        <v>99.916345992973064</v>
      </c>
    </row>
    <row r="66" spans="2:30">
      <c r="B66" s="13">
        <f t="shared" si="1"/>
        <v>55</v>
      </c>
      <c r="C66" s="24" t="s">
        <v>2262</v>
      </c>
      <c r="D66" s="58" t="s">
        <v>2265</v>
      </c>
      <c r="E66" s="482"/>
      <c r="F66" s="523">
        <v>1</v>
      </c>
      <c r="G66" s="471" t="s">
        <v>1845</v>
      </c>
      <c r="H66" s="650">
        <v>0</v>
      </c>
      <c r="I66" s="471" t="s">
        <v>1845</v>
      </c>
      <c r="J66" s="15"/>
      <c r="K66" s="99">
        <v>548098000</v>
      </c>
      <c r="L66" s="13"/>
      <c r="M66" s="17"/>
      <c r="N66" s="17"/>
      <c r="O66" s="18"/>
      <c r="P66" s="18"/>
      <c r="Q66" s="17"/>
      <c r="R66" s="17"/>
      <c r="S66" s="17"/>
      <c r="T66" s="17"/>
      <c r="U66" s="17"/>
      <c r="V66" s="17"/>
      <c r="W66" s="17"/>
      <c r="X66" s="17"/>
      <c r="Y66" s="466">
        <v>100</v>
      </c>
      <c r="Z66" s="466">
        <v>100</v>
      </c>
      <c r="AA66" s="20">
        <v>546748000</v>
      </c>
      <c r="AB66" s="19">
        <f t="shared" si="5"/>
        <v>99.753693682516626</v>
      </c>
      <c r="AC66" s="20"/>
      <c r="AD66" s="19">
        <f t="shared" si="3"/>
        <v>0</v>
      </c>
    </row>
    <row r="67" spans="2:30">
      <c r="B67" s="13">
        <f t="shared" si="1"/>
        <v>56</v>
      </c>
      <c r="C67" s="24" t="s">
        <v>2263</v>
      </c>
      <c r="D67" s="58" t="s">
        <v>2266</v>
      </c>
      <c r="E67" s="482"/>
      <c r="F67" s="523">
        <v>1</v>
      </c>
      <c r="G67" s="471" t="s">
        <v>1845</v>
      </c>
      <c r="H67" s="650">
        <v>0</v>
      </c>
      <c r="I67" s="471" t="s">
        <v>1845</v>
      </c>
      <c r="J67" s="15"/>
      <c r="K67" s="99">
        <v>2000000000</v>
      </c>
      <c r="L67" s="13"/>
      <c r="M67" s="17"/>
      <c r="N67" s="17"/>
      <c r="O67" s="18"/>
      <c r="P67" s="18"/>
      <c r="Q67" s="17"/>
      <c r="R67" s="17"/>
      <c r="S67" s="17"/>
      <c r="T67" s="17"/>
      <c r="U67" s="17"/>
      <c r="V67" s="17"/>
      <c r="W67" s="17"/>
      <c r="X67" s="17"/>
      <c r="Y67" s="466">
        <v>100</v>
      </c>
      <c r="Z67" s="466">
        <v>100</v>
      </c>
      <c r="AA67" s="20">
        <v>2160000</v>
      </c>
      <c r="AB67" s="19">
        <f t="shared" si="5"/>
        <v>0.108</v>
      </c>
      <c r="AC67" s="20">
        <f>AA67</f>
        <v>2160000</v>
      </c>
      <c r="AD67" s="19">
        <f t="shared" si="3"/>
        <v>0.108</v>
      </c>
    </row>
    <row r="68" spans="2:30">
      <c r="B68" s="13"/>
      <c r="C68" s="23" t="s">
        <v>105</v>
      </c>
      <c r="D68" s="14" t="s">
        <v>106</v>
      </c>
      <c r="E68" s="482"/>
      <c r="F68" s="523"/>
      <c r="G68" s="471"/>
      <c r="H68" s="650"/>
      <c r="I68" s="471"/>
      <c r="J68" s="15"/>
      <c r="K68" s="25"/>
      <c r="L68" s="13"/>
      <c r="M68" s="17"/>
      <c r="N68" s="17"/>
      <c r="O68" s="18"/>
      <c r="P68" s="18"/>
      <c r="Q68" s="17"/>
      <c r="R68" s="17"/>
      <c r="S68" s="17"/>
      <c r="T68" s="17"/>
      <c r="U68" s="17"/>
      <c r="V68" s="17"/>
      <c r="W68" s="17"/>
      <c r="X68" s="17"/>
      <c r="Y68" s="19"/>
      <c r="Z68" s="19"/>
      <c r="AA68" s="20">
        <v>0</v>
      </c>
      <c r="AB68" s="19"/>
      <c r="AC68" s="20"/>
      <c r="AD68" s="19"/>
    </row>
    <row r="69" spans="2:30">
      <c r="B69" s="13">
        <v>57</v>
      </c>
      <c r="C69" s="24" t="s">
        <v>107</v>
      </c>
      <c r="D69" s="21" t="s">
        <v>108</v>
      </c>
      <c r="E69" s="482"/>
      <c r="F69" s="523">
        <v>1</v>
      </c>
      <c r="G69" s="471" t="s">
        <v>1845</v>
      </c>
      <c r="H69" s="650">
        <v>0</v>
      </c>
      <c r="I69" s="471" t="s">
        <v>1845</v>
      </c>
      <c r="J69" s="15">
        <v>276494000</v>
      </c>
      <c r="K69" s="99">
        <v>276494000</v>
      </c>
      <c r="L69" s="13"/>
      <c r="M69" s="17"/>
      <c r="N69" s="17"/>
      <c r="O69" s="18"/>
      <c r="P69" s="18"/>
      <c r="Q69" s="17"/>
      <c r="R69" s="17"/>
      <c r="S69" s="17"/>
      <c r="T69" s="17"/>
      <c r="U69" s="17"/>
      <c r="V69" s="17"/>
      <c r="W69" s="17"/>
      <c r="X69" s="17"/>
      <c r="Y69" s="466">
        <v>100</v>
      </c>
      <c r="Z69" s="466">
        <v>100</v>
      </c>
      <c r="AA69" s="20">
        <v>255847000</v>
      </c>
      <c r="AB69" s="19">
        <f t="shared" si="5"/>
        <v>92.532568518665869</v>
      </c>
      <c r="AC69" s="20">
        <f t="shared" si="0"/>
        <v>255847000</v>
      </c>
      <c r="AD69" s="19">
        <f t="shared" si="3"/>
        <v>92.532568518665869</v>
      </c>
    </row>
    <row r="70" spans="2:30" ht="25.5">
      <c r="B70" s="13">
        <f t="shared" si="1"/>
        <v>58</v>
      </c>
      <c r="C70" s="24" t="s">
        <v>109</v>
      </c>
      <c r="D70" s="21" t="s">
        <v>110</v>
      </c>
      <c r="E70" s="482"/>
      <c r="F70" s="523">
        <v>1</v>
      </c>
      <c r="G70" s="471" t="s">
        <v>1845</v>
      </c>
      <c r="H70" s="650">
        <v>0</v>
      </c>
      <c r="I70" s="471" t="s">
        <v>1845</v>
      </c>
      <c r="J70" s="15">
        <v>79110000</v>
      </c>
      <c r="K70" s="99">
        <v>79110000</v>
      </c>
      <c r="L70" s="13"/>
      <c r="M70" s="17"/>
      <c r="N70" s="17"/>
      <c r="O70" s="18"/>
      <c r="P70" s="18"/>
      <c r="Q70" s="17"/>
      <c r="R70" s="17"/>
      <c r="S70" s="17"/>
      <c r="T70" s="17"/>
      <c r="U70" s="17"/>
      <c r="V70" s="17"/>
      <c r="W70" s="17"/>
      <c r="X70" s="17"/>
      <c r="Y70" s="466">
        <v>100</v>
      </c>
      <c r="Z70" s="466">
        <v>100</v>
      </c>
      <c r="AA70" s="20">
        <v>75300000</v>
      </c>
      <c r="AB70" s="19">
        <f t="shared" si="5"/>
        <v>95.183921122487675</v>
      </c>
      <c r="AC70" s="20">
        <f t="shared" si="0"/>
        <v>75300000</v>
      </c>
      <c r="AD70" s="19">
        <f t="shared" si="3"/>
        <v>95.183921122487675</v>
      </c>
    </row>
    <row r="71" spans="2:30">
      <c r="B71" s="13">
        <f t="shared" si="1"/>
        <v>59</v>
      </c>
      <c r="C71" s="24" t="s">
        <v>111</v>
      </c>
      <c r="D71" s="21" t="s">
        <v>112</v>
      </c>
      <c r="E71" s="482"/>
      <c r="F71" s="523">
        <v>1</v>
      </c>
      <c r="G71" s="471" t="s">
        <v>1845</v>
      </c>
      <c r="H71" s="650">
        <v>0</v>
      </c>
      <c r="I71" s="471" t="s">
        <v>1845</v>
      </c>
      <c r="J71" s="15">
        <v>76000000</v>
      </c>
      <c r="K71" s="99">
        <v>76000000</v>
      </c>
      <c r="L71" s="13"/>
      <c r="M71" s="17"/>
      <c r="N71" s="17"/>
      <c r="O71" s="18"/>
      <c r="P71" s="18"/>
      <c r="Q71" s="17"/>
      <c r="R71" s="17"/>
      <c r="S71" s="17"/>
      <c r="T71" s="17"/>
      <c r="U71" s="17"/>
      <c r="V71" s="17"/>
      <c r="W71" s="17"/>
      <c r="X71" s="17"/>
      <c r="Y71" s="466">
        <v>100</v>
      </c>
      <c r="Z71" s="466">
        <v>100</v>
      </c>
      <c r="AA71" s="20">
        <v>74757000</v>
      </c>
      <c r="AB71" s="19">
        <f t="shared" si="5"/>
        <v>98.364473684210523</v>
      </c>
      <c r="AC71" s="20">
        <f t="shared" si="0"/>
        <v>74757000</v>
      </c>
      <c r="AD71" s="19">
        <f t="shared" si="3"/>
        <v>98.364473684210523</v>
      </c>
    </row>
    <row r="72" spans="2:30">
      <c r="B72" s="13">
        <f t="shared" si="1"/>
        <v>60</v>
      </c>
      <c r="C72" s="24" t="s">
        <v>113</v>
      </c>
      <c r="D72" s="21" t="s">
        <v>114</v>
      </c>
      <c r="E72" s="482"/>
      <c r="F72" s="523">
        <v>1</v>
      </c>
      <c r="G72" s="471" t="s">
        <v>1845</v>
      </c>
      <c r="H72" s="650">
        <v>0</v>
      </c>
      <c r="I72" s="471" t="s">
        <v>1845</v>
      </c>
      <c r="J72" s="15">
        <v>72348000</v>
      </c>
      <c r="K72" s="99">
        <v>72348000</v>
      </c>
      <c r="L72" s="13"/>
      <c r="M72" s="17"/>
      <c r="N72" s="17"/>
      <c r="O72" s="18"/>
      <c r="P72" s="18"/>
      <c r="Q72" s="17"/>
      <c r="R72" s="17"/>
      <c r="S72" s="17"/>
      <c r="T72" s="17"/>
      <c r="U72" s="17"/>
      <c r="V72" s="17"/>
      <c r="W72" s="17"/>
      <c r="X72" s="17"/>
      <c r="Y72" s="466">
        <v>100</v>
      </c>
      <c r="Z72" s="466">
        <v>100</v>
      </c>
      <c r="AA72" s="20">
        <v>71288000</v>
      </c>
      <c r="AB72" s="19">
        <f t="shared" si="5"/>
        <v>98.534859291203631</v>
      </c>
      <c r="AC72" s="20">
        <f t="shared" si="0"/>
        <v>71288000</v>
      </c>
      <c r="AD72" s="19">
        <f t="shared" si="3"/>
        <v>98.534859291203631</v>
      </c>
    </row>
    <row r="73" spans="2:30">
      <c r="B73" s="13">
        <f t="shared" si="1"/>
        <v>61</v>
      </c>
      <c r="C73" s="24" t="s">
        <v>115</v>
      </c>
      <c r="D73" s="21" t="s">
        <v>116</v>
      </c>
      <c r="E73" s="482"/>
      <c r="F73" s="523">
        <v>1</v>
      </c>
      <c r="G73" s="471" t="s">
        <v>1845</v>
      </c>
      <c r="H73" s="650">
        <v>0</v>
      </c>
      <c r="I73" s="471" t="s">
        <v>1845</v>
      </c>
      <c r="J73" s="15">
        <v>41368000</v>
      </c>
      <c r="K73" s="99">
        <v>41368000</v>
      </c>
      <c r="L73" s="13"/>
      <c r="M73" s="17"/>
      <c r="N73" s="17"/>
      <c r="O73" s="18"/>
      <c r="P73" s="18"/>
      <c r="Q73" s="17"/>
      <c r="R73" s="17"/>
      <c r="S73" s="17"/>
      <c r="T73" s="17"/>
      <c r="U73" s="17"/>
      <c r="V73" s="17"/>
      <c r="W73" s="17"/>
      <c r="X73" s="17"/>
      <c r="Y73" s="466">
        <v>100</v>
      </c>
      <c r="Z73" s="466">
        <v>100</v>
      </c>
      <c r="AA73" s="20">
        <v>41015000</v>
      </c>
      <c r="AB73" s="19">
        <f t="shared" si="5"/>
        <v>99.146683426803321</v>
      </c>
      <c r="AC73" s="20">
        <f t="shared" si="0"/>
        <v>41015000</v>
      </c>
      <c r="AD73" s="19">
        <f t="shared" si="3"/>
        <v>99.146683426803321</v>
      </c>
    </row>
    <row r="74" spans="2:30">
      <c r="B74" s="13">
        <f t="shared" si="1"/>
        <v>62</v>
      </c>
      <c r="C74" s="24" t="s">
        <v>117</v>
      </c>
      <c r="D74" s="21" t="s">
        <v>118</v>
      </c>
      <c r="E74" s="482"/>
      <c r="F74" s="523">
        <v>1</v>
      </c>
      <c r="G74" s="471" t="s">
        <v>1845</v>
      </c>
      <c r="H74" s="650">
        <v>0</v>
      </c>
      <c r="I74" s="471" t="s">
        <v>1845</v>
      </c>
      <c r="J74" s="15">
        <v>21685000</v>
      </c>
      <c r="K74" s="99">
        <v>21685000</v>
      </c>
      <c r="L74" s="13"/>
      <c r="M74" s="17"/>
      <c r="N74" s="17"/>
      <c r="O74" s="18"/>
      <c r="P74" s="18"/>
      <c r="Q74" s="17"/>
      <c r="R74" s="17"/>
      <c r="S74" s="17"/>
      <c r="T74" s="17"/>
      <c r="U74" s="17"/>
      <c r="V74" s="17"/>
      <c r="W74" s="17"/>
      <c r="X74" s="17"/>
      <c r="Y74" s="466">
        <v>100</v>
      </c>
      <c r="Z74" s="466">
        <v>100</v>
      </c>
      <c r="AA74" s="20">
        <v>13504900</v>
      </c>
      <c r="AB74" s="19">
        <f t="shared" si="5"/>
        <v>62.277611252017529</v>
      </c>
      <c r="AC74" s="20">
        <f t="shared" si="0"/>
        <v>13504900</v>
      </c>
      <c r="AD74" s="19">
        <f t="shared" si="3"/>
        <v>62.277611252017529</v>
      </c>
    </row>
    <row r="75" spans="2:30">
      <c r="B75" s="13">
        <f t="shared" si="1"/>
        <v>63</v>
      </c>
      <c r="C75" s="24" t="s">
        <v>119</v>
      </c>
      <c r="D75" s="21" t="s">
        <v>120</v>
      </c>
      <c r="E75" s="482"/>
      <c r="F75" s="523">
        <v>1</v>
      </c>
      <c r="G75" s="471" t="s">
        <v>1845</v>
      </c>
      <c r="H75" s="650">
        <v>0</v>
      </c>
      <c r="I75" s="471" t="s">
        <v>1845</v>
      </c>
      <c r="J75" s="15">
        <v>37500000</v>
      </c>
      <c r="K75" s="99">
        <v>37500000</v>
      </c>
      <c r="L75" s="13" t="s">
        <v>1</v>
      </c>
      <c r="M75" s="17"/>
      <c r="N75" s="17"/>
      <c r="O75" s="18"/>
      <c r="P75" s="18"/>
      <c r="Q75" s="17"/>
      <c r="R75" s="17"/>
      <c r="S75" s="17"/>
      <c r="T75" s="17"/>
      <c r="U75" s="17"/>
      <c r="V75" s="17"/>
      <c r="W75" s="17"/>
      <c r="X75" s="17"/>
      <c r="Y75" s="466">
        <v>100</v>
      </c>
      <c r="Z75" s="466">
        <v>100</v>
      </c>
      <c r="AA75" s="20">
        <v>37499000</v>
      </c>
      <c r="AB75" s="19">
        <f t="shared" si="5"/>
        <v>99.997333333333344</v>
      </c>
      <c r="AC75" s="20">
        <f t="shared" si="0"/>
        <v>37499000</v>
      </c>
      <c r="AD75" s="19">
        <f t="shared" ref="AD75:AD136" si="7">AC75/K75*100</f>
        <v>99.997333333333344</v>
      </c>
    </row>
    <row r="76" spans="2:30" ht="25.5">
      <c r="B76" s="13">
        <f t="shared" si="1"/>
        <v>64</v>
      </c>
      <c r="C76" s="24" t="s">
        <v>121</v>
      </c>
      <c r="D76" s="21" t="s">
        <v>122</v>
      </c>
      <c r="E76" s="482"/>
      <c r="F76" s="523">
        <v>1</v>
      </c>
      <c r="G76" s="471" t="s">
        <v>1845</v>
      </c>
      <c r="H76" s="650">
        <v>0</v>
      </c>
      <c r="I76" s="471" t="s">
        <v>1845</v>
      </c>
      <c r="J76" s="15">
        <v>9970000</v>
      </c>
      <c r="K76" s="99">
        <v>9970000</v>
      </c>
      <c r="L76" s="13"/>
      <c r="M76" s="17"/>
      <c r="N76" s="17"/>
      <c r="O76" s="18"/>
      <c r="P76" s="18"/>
      <c r="Q76" s="17"/>
      <c r="R76" s="17"/>
      <c r="S76" s="17"/>
      <c r="T76" s="17"/>
      <c r="U76" s="17"/>
      <c r="V76" s="17"/>
      <c r="W76" s="17"/>
      <c r="X76" s="17"/>
      <c r="Y76" s="466">
        <v>100</v>
      </c>
      <c r="Z76" s="466">
        <v>100</v>
      </c>
      <c r="AA76" s="467">
        <v>9527240</v>
      </c>
      <c r="AB76" s="19">
        <f t="shared" si="5"/>
        <v>95.559077231695085</v>
      </c>
      <c r="AC76" s="20">
        <f t="shared" si="0"/>
        <v>9527240</v>
      </c>
      <c r="AD76" s="19">
        <f t="shared" si="7"/>
        <v>95.559077231695085</v>
      </c>
    </row>
    <row r="77" spans="2:30" ht="25.5">
      <c r="B77" s="13">
        <f t="shared" si="1"/>
        <v>65</v>
      </c>
      <c r="C77" s="24" t="s">
        <v>2267</v>
      </c>
      <c r="D77" s="75" t="s">
        <v>2268</v>
      </c>
      <c r="E77" s="482"/>
      <c r="F77" s="523">
        <v>1</v>
      </c>
      <c r="G77" s="471"/>
      <c r="H77" s="650"/>
      <c r="I77" s="471"/>
      <c r="J77" s="15"/>
      <c r="K77" s="99">
        <v>36500000</v>
      </c>
      <c r="L77" s="13"/>
      <c r="M77" s="17"/>
      <c r="N77" s="17"/>
      <c r="O77" s="18"/>
      <c r="P77" s="18"/>
      <c r="Q77" s="17"/>
      <c r="R77" s="17"/>
      <c r="S77" s="17"/>
      <c r="T77" s="17"/>
      <c r="U77" s="17"/>
      <c r="V77" s="17"/>
      <c r="W77" s="17"/>
      <c r="X77" s="17"/>
      <c r="Y77" s="466">
        <v>100</v>
      </c>
      <c r="Z77" s="466">
        <v>100</v>
      </c>
      <c r="AA77" s="467">
        <v>36310000</v>
      </c>
      <c r="AB77" s="19">
        <f t="shared" si="5"/>
        <v>99.479452054794521</v>
      </c>
      <c r="AC77" s="20">
        <f t="shared" si="0"/>
        <v>36310000</v>
      </c>
      <c r="AD77" s="19">
        <f t="shared" si="7"/>
        <v>99.479452054794521</v>
      </c>
    </row>
    <row r="78" spans="2:30">
      <c r="B78" s="13">
        <f t="shared" si="1"/>
        <v>66</v>
      </c>
      <c r="C78" s="24" t="s">
        <v>123</v>
      </c>
      <c r="D78" s="21" t="s">
        <v>124</v>
      </c>
      <c r="E78" s="482"/>
      <c r="F78" s="523">
        <v>1</v>
      </c>
      <c r="G78" s="471" t="s">
        <v>1845</v>
      </c>
      <c r="H78" s="650">
        <v>0</v>
      </c>
      <c r="I78" s="471" t="s">
        <v>1845</v>
      </c>
      <c r="J78" s="15">
        <v>51000000</v>
      </c>
      <c r="K78" s="99">
        <v>51000000</v>
      </c>
      <c r="L78" s="13"/>
      <c r="M78" s="17"/>
      <c r="N78" s="17"/>
      <c r="O78" s="18"/>
      <c r="P78" s="18"/>
      <c r="Q78" s="17"/>
      <c r="R78" s="17"/>
      <c r="S78" s="17"/>
      <c r="T78" s="17"/>
      <c r="U78" s="17"/>
      <c r="V78" s="17"/>
      <c r="W78" s="17"/>
      <c r="X78" s="17"/>
      <c r="Y78" s="466">
        <v>100</v>
      </c>
      <c r="Z78" s="466">
        <v>100</v>
      </c>
      <c r="AA78" s="20">
        <v>1000000</v>
      </c>
      <c r="AB78" s="19">
        <f t="shared" si="5"/>
        <v>1.9607843137254901</v>
      </c>
      <c r="AC78" s="20">
        <f t="shared" si="0"/>
        <v>1000000</v>
      </c>
      <c r="AD78" s="19">
        <f t="shared" si="7"/>
        <v>1.9607843137254901</v>
      </c>
    </row>
    <row r="79" spans="2:30" ht="25.5">
      <c r="B79" s="13">
        <f t="shared" si="1"/>
        <v>67</v>
      </c>
      <c r="C79" s="24" t="s">
        <v>2269</v>
      </c>
      <c r="D79" s="75" t="s">
        <v>1552</v>
      </c>
      <c r="E79" s="482"/>
      <c r="F79" s="523">
        <v>1</v>
      </c>
      <c r="G79" s="471"/>
      <c r="H79" s="650"/>
      <c r="I79" s="471"/>
      <c r="J79" s="15"/>
      <c r="K79" s="99">
        <v>40000000</v>
      </c>
      <c r="L79" s="13"/>
      <c r="M79" s="17"/>
      <c r="N79" s="17"/>
      <c r="O79" s="18"/>
      <c r="P79" s="18"/>
      <c r="Q79" s="17"/>
      <c r="R79" s="17"/>
      <c r="S79" s="17"/>
      <c r="T79" s="17"/>
      <c r="U79" s="17"/>
      <c r="V79" s="17"/>
      <c r="W79" s="17"/>
      <c r="X79" s="17"/>
      <c r="Y79" s="466">
        <v>100</v>
      </c>
      <c r="Z79" s="466">
        <v>100</v>
      </c>
      <c r="AA79" s="20">
        <v>40000000</v>
      </c>
      <c r="AB79" s="19">
        <f t="shared" si="5"/>
        <v>100</v>
      </c>
      <c r="AC79" s="20">
        <f t="shared" si="0"/>
        <v>40000000</v>
      </c>
      <c r="AD79" s="19">
        <f t="shared" si="7"/>
        <v>100</v>
      </c>
    </row>
    <row r="80" spans="2:30">
      <c r="B80" s="13">
        <f t="shared" si="1"/>
        <v>68</v>
      </c>
      <c r="C80" s="24" t="s">
        <v>125</v>
      </c>
      <c r="D80" s="21" t="s">
        <v>126</v>
      </c>
      <c r="E80" s="482"/>
      <c r="F80" s="523">
        <v>1</v>
      </c>
      <c r="G80" s="471" t="s">
        <v>1845</v>
      </c>
      <c r="H80" s="650">
        <v>0</v>
      </c>
      <c r="I80" s="471" t="s">
        <v>1845</v>
      </c>
      <c r="J80" s="15">
        <v>3524000000</v>
      </c>
      <c r="K80" s="99">
        <v>3524000000</v>
      </c>
      <c r="L80" s="13"/>
      <c r="M80" s="17"/>
      <c r="N80" s="17" t="s">
        <v>1</v>
      </c>
      <c r="O80" s="18"/>
      <c r="P80" s="18"/>
      <c r="Q80" s="17"/>
      <c r="R80" s="17"/>
      <c r="S80" s="17"/>
      <c r="T80" s="17"/>
      <c r="U80" s="17"/>
      <c r="V80" s="17"/>
      <c r="W80" s="17"/>
      <c r="X80" s="17"/>
      <c r="Y80" s="466">
        <v>100</v>
      </c>
      <c r="Z80" s="466">
        <v>100</v>
      </c>
      <c r="AA80" s="20">
        <v>3524000000</v>
      </c>
      <c r="AB80" s="19">
        <f t="shared" si="5"/>
        <v>100</v>
      </c>
      <c r="AC80" s="20">
        <f t="shared" si="0"/>
        <v>3524000000</v>
      </c>
      <c r="AD80" s="19">
        <f t="shared" si="7"/>
        <v>100</v>
      </c>
    </row>
    <row r="81" spans="2:30">
      <c r="B81" s="13">
        <f t="shared" si="1"/>
        <v>69</v>
      </c>
      <c r="C81" s="24" t="s">
        <v>127</v>
      </c>
      <c r="D81" s="21" t="s">
        <v>128</v>
      </c>
      <c r="E81" s="571"/>
      <c r="F81" s="523">
        <v>1</v>
      </c>
      <c r="G81" s="471" t="s">
        <v>1845</v>
      </c>
      <c r="H81" s="650">
        <v>0</v>
      </c>
      <c r="I81" s="471" t="s">
        <v>1845</v>
      </c>
      <c r="J81" s="15">
        <v>6496856000</v>
      </c>
      <c r="K81" s="99">
        <v>6496856000</v>
      </c>
      <c r="L81" s="13"/>
      <c r="M81" s="17"/>
      <c r="N81" s="17"/>
      <c r="O81" s="18"/>
      <c r="P81" s="18"/>
      <c r="Q81" s="17"/>
      <c r="R81" s="17"/>
      <c r="S81" s="17"/>
      <c r="T81" s="17"/>
      <c r="U81" s="17"/>
      <c r="V81" s="17"/>
      <c r="W81" s="17"/>
      <c r="X81" s="17"/>
      <c r="Y81" s="466">
        <v>100</v>
      </c>
      <c r="Z81" s="466">
        <v>100</v>
      </c>
      <c r="AA81" s="20">
        <v>6496856000</v>
      </c>
      <c r="AB81" s="19">
        <f t="shared" si="5"/>
        <v>100</v>
      </c>
      <c r="AC81" s="20">
        <f>AA81</f>
        <v>6496856000</v>
      </c>
      <c r="AD81" s="19">
        <f t="shared" si="7"/>
        <v>100</v>
      </c>
    </row>
    <row r="82" spans="2:30" ht="25.5">
      <c r="B82" s="13">
        <f t="shared" si="1"/>
        <v>70</v>
      </c>
      <c r="C82" s="24" t="s">
        <v>129</v>
      </c>
      <c r="D82" s="21" t="s">
        <v>130</v>
      </c>
      <c r="E82" s="482"/>
      <c r="F82" s="523">
        <v>1</v>
      </c>
      <c r="G82" s="471" t="s">
        <v>1845</v>
      </c>
      <c r="H82" s="650">
        <v>0</v>
      </c>
      <c r="I82" s="471" t="s">
        <v>1845</v>
      </c>
      <c r="J82" s="15">
        <v>3500000000</v>
      </c>
      <c r="K82" s="99">
        <v>2882707000</v>
      </c>
      <c r="L82" s="13"/>
      <c r="M82" s="17"/>
      <c r="N82" s="17"/>
      <c r="O82" s="18"/>
      <c r="P82" s="18"/>
      <c r="Q82" s="17"/>
      <c r="R82" s="17"/>
      <c r="S82" s="17"/>
      <c r="T82" s="17"/>
      <c r="U82" s="17"/>
      <c r="V82" s="17"/>
      <c r="W82" s="17"/>
      <c r="X82" s="17"/>
      <c r="Y82" s="466">
        <v>100</v>
      </c>
      <c r="Z82" s="466">
        <v>100</v>
      </c>
      <c r="AA82" s="20">
        <v>2872300735</v>
      </c>
      <c r="AB82" s="19">
        <f t="shared" si="5"/>
        <v>99.639010659078437</v>
      </c>
      <c r="AC82" s="20">
        <f t="shared" si="0"/>
        <v>2872300735</v>
      </c>
      <c r="AD82" s="19">
        <f t="shared" si="7"/>
        <v>99.639010659078437</v>
      </c>
    </row>
    <row r="83" spans="2:30" ht="25.5">
      <c r="B83" s="13">
        <f t="shared" si="1"/>
        <v>71</v>
      </c>
      <c r="C83" s="24" t="s">
        <v>2270</v>
      </c>
      <c r="D83" s="75" t="s">
        <v>2277</v>
      </c>
      <c r="E83" s="482"/>
      <c r="F83" s="523">
        <v>1</v>
      </c>
      <c r="G83" s="471"/>
      <c r="H83" s="650">
        <v>0</v>
      </c>
      <c r="I83" s="471"/>
      <c r="J83" s="15"/>
      <c r="K83" s="99">
        <v>878830000</v>
      </c>
      <c r="L83" s="13"/>
      <c r="M83" s="17"/>
      <c r="N83" s="17"/>
      <c r="O83" s="18"/>
      <c r="P83" s="18"/>
      <c r="Q83" s="17"/>
      <c r="R83" s="17"/>
      <c r="S83" s="17"/>
      <c r="T83" s="17"/>
      <c r="U83" s="17"/>
      <c r="V83" s="17"/>
      <c r="W83" s="17"/>
      <c r="X83" s="17"/>
      <c r="Y83" s="466">
        <v>100</v>
      </c>
      <c r="Z83" s="466">
        <v>100</v>
      </c>
      <c r="AA83" s="20">
        <v>876967000</v>
      </c>
      <c r="AB83" s="19">
        <f t="shared" si="5"/>
        <v>99.788013609002874</v>
      </c>
      <c r="AC83" s="20">
        <f t="shared" si="0"/>
        <v>876967000</v>
      </c>
      <c r="AD83" s="19">
        <f t="shared" si="7"/>
        <v>99.788013609002874</v>
      </c>
    </row>
    <row r="84" spans="2:30" ht="25.5">
      <c r="B84" s="13">
        <f t="shared" si="1"/>
        <v>72</v>
      </c>
      <c r="C84" s="24" t="s">
        <v>2271</v>
      </c>
      <c r="D84" s="75" t="s">
        <v>2278</v>
      </c>
      <c r="E84" s="482"/>
      <c r="F84" s="523">
        <v>1</v>
      </c>
      <c r="G84" s="471"/>
      <c r="H84" s="650">
        <v>0</v>
      </c>
      <c r="I84" s="471"/>
      <c r="J84" s="15"/>
      <c r="K84" s="99">
        <v>1734395000</v>
      </c>
      <c r="L84" s="13"/>
      <c r="M84" s="17"/>
      <c r="N84" s="17"/>
      <c r="O84" s="18"/>
      <c r="P84" s="18"/>
      <c r="Q84" s="17"/>
      <c r="R84" s="17"/>
      <c r="S84" s="17"/>
      <c r="T84" s="17"/>
      <c r="U84" s="17"/>
      <c r="V84" s="17"/>
      <c r="W84" s="17"/>
      <c r="X84" s="17"/>
      <c r="Y84" s="466">
        <v>100</v>
      </c>
      <c r="Z84" s="466">
        <v>100</v>
      </c>
      <c r="AA84" s="20">
        <v>1734395000</v>
      </c>
      <c r="AB84" s="19">
        <f t="shared" si="5"/>
        <v>100</v>
      </c>
      <c r="AC84" s="20">
        <f t="shared" si="0"/>
        <v>1734395000</v>
      </c>
      <c r="AD84" s="19">
        <f t="shared" si="7"/>
        <v>100</v>
      </c>
    </row>
    <row r="85" spans="2:30" ht="25.5">
      <c r="B85" s="13">
        <f t="shared" si="1"/>
        <v>73</v>
      </c>
      <c r="C85" s="24" t="s">
        <v>2272</v>
      </c>
      <c r="D85" s="75" t="s">
        <v>2279</v>
      </c>
      <c r="E85" s="482"/>
      <c r="F85" s="523">
        <v>1</v>
      </c>
      <c r="G85" s="471"/>
      <c r="H85" s="650">
        <v>0</v>
      </c>
      <c r="I85" s="471"/>
      <c r="J85" s="15"/>
      <c r="K85" s="99">
        <v>5885000</v>
      </c>
      <c r="L85" s="13"/>
      <c r="M85" s="17"/>
      <c r="N85" s="17"/>
      <c r="O85" s="18"/>
      <c r="P85" s="18"/>
      <c r="Q85" s="17"/>
      <c r="R85" s="17"/>
      <c r="S85" s="17"/>
      <c r="T85" s="17"/>
      <c r="U85" s="17"/>
      <c r="V85" s="17"/>
      <c r="W85" s="17"/>
      <c r="X85" s="17"/>
      <c r="Y85" s="466">
        <v>100</v>
      </c>
      <c r="Z85" s="466">
        <v>100</v>
      </c>
      <c r="AA85" s="20">
        <v>5885000</v>
      </c>
      <c r="AB85" s="19">
        <f t="shared" si="5"/>
        <v>100</v>
      </c>
      <c r="AC85" s="20">
        <f t="shared" si="0"/>
        <v>5885000</v>
      </c>
      <c r="AD85" s="19">
        <f t="shared" si="7"/>
        <v>100</v>
      </c>
    </row>
    <row r="86" spans="2:30" ht="25.5">
      <c r="B86" s="13">
        <f t="shared" si="1"/>
        <v>74</v>
      </c>
      <c r="C86" s="24" t="s">
        <v>2273</v>
      </c>
      <c r="D86" s="75" t="s">
        <v>2280</v>
      </c>
      <c r="E86" s="482"/>
      <c r="F86" s="523">
        <v>1</v>
      </c>
      <c r="G86" s="471"/>
      <c r="H86" s="650">
        <v>0</v>
      </c>
      <c r="I86" s="471"/>
      <c r="J86" s="15"/>
      <c r="K86" s="99">
        <v>15000000</v>
      </c>
      <c r="L86" s="13"/>
      <c r="M86" s="17"/>
      <c r="N86" s="17"/>
      <c r="O86" s="18"/>
      <c r="P86" s="18"/>
      <c r="Q86" s="17"/>
      <c r="R86" s="17"/>
      <c r="S86" s="17"/>
      <c r="T86" s="17"/>
      <c r="U86" s="17"/>
      <c r="V86" s="17"/>
      <c r="W86" s="17"/>
      <c r="X86" s="17"/>
      <c r="Y86" s="466">
        <v>100</v>
      </c>
      <c r="Z86" s="466">
        <v>100</v>
      </c>
      <c r="AA86" s="20">
        <v>15000000</v>
      </c>
      <c r="AB86" s="19">
        <f t="shared" si="5"/>
        <v>100</v>
      </c>
      <c r="AC86" s="20">
        <f t="shared" si="0"/>
        <v>15000000</v>
      </c>
      <c r="AD86" s="19">
        <f t="shared" si="7"/>
        <v>100</v>
      </c>
    </row>
    <row r="87" spans="2:30" ht="25.5">
      <c r="B87" s="13">
        <f t="shared" si="1"/>
        <v>75</v>
      </c>
      <c r="C87" s="24" t="s">
        <v>2274</v>
      </c>
      <c r="D87" s="75" t="s">
        <v>2281</v>
      </c>
      <c r="E87" s="482"/>
      <c r="F87" s="523">
        <v>1</v>
      </c>
      <c r="G87" s="471"/>
      <c r="H87" s="650">
        <v>0</v>
      </c>
      <c r="I87" s="471"/>
      <c r="J87" s="15"/>
      <c r="K87" s="99">
        <v>150000000</v>
      </c>
      <c r="L87" s="13"/>
      <c r="M87" s="17"/>
      <c r="N87" s="17"/>
      <c r="O87" s="18"/>
      <c r="P87" s="18"/>
      <c r="Q87" s="17"/>
      <c r="R87" s="17"/>
      <c r="S87" s="17"/>
      <c r="T87" s="17"/>
      <c r="U87" s="17"/>
      <c r="V87" s="17"/>
      <c r="W87" s="17"/>
      <c r="X87" s="17"/>
      <c r="Y87" s="466">
        <v>100</v>
      </c>
      <c r="Z87" s="466">
        <v>100</v>
      </c>
      <c r="AA87" s="20">
        <v>144400000</v>
      </c>
      <c r="AB87" s="19">
        <f t="shared" ref="AB87:AB136" si="8">AA87/K87*100</f>
        <v>96.266666666666666</v>
      </c>
      <c r="AC87" s="20">
        <f>AA87</f>
        <v>144400000</v>
      </c>
      <c r="AD87" s="19">
        <f t="shared" si="7"/>
        <v>96.266666666666666</v>
      </c>
    </row>
    <row r="88" spans="2:30">
      <c r="B88" s="13">
        <f t="shared" si="1"/>
        <v>76</v>
      </c>
      <c r="C88" s="24" t="s">
        <v>2275</v>
      </c>
      <c r="D88" s="58" t="s">
        <v>2282</v>
      </c>
      <c r="E88" s="482"/>
      <c r="F88" s="523">
        <v>1</v>
      </c>
      <c r="G88" s="471"/>
      <c r="H88" s="650">
        <v>0</v>
      </c>
      <c r="I88" s="471"/>
      <c r="J88" s="15"/>
      <c r="K88" s="99">
        <v>52000000</v>
      </c>
      <c r="L88" s="13"/>
      <c r="M88" s="17"/>
      <c r="N88" s="17"/>
      <c r="O88" s="18"/>
      <c r="P88" s="18"/>
      <c r="Q88" s="17"/>
      <c r="R88" s="17"/>
      <c r="S88" s="17"/>
      <c r="T88" s="17"/>
      <c r="U88" s="17"/>
      <c r="V88" s="17"/>
      <c r="W88" s="17"/>
      <c r="X88" s="17"/>
      <c r="Y88" s="466">
        <v>100</v>
      </c>
      <c r="Z88" s="466">
        <v>100</v>
      </c>
      <c r="AA88" s="20">
        <v>34014500</v>
      </c>
      <c r="AB88" s="19">
        <f t="shared" si="8"/>
        <v>65.412499999999994</v>
      </c>
      <c r="AC88" s="20">
        <f>AA88</f>
        <v>34014500</v>
      </c>
      <c r="AD88" s="19">
        <f t="shared" si="7"/>
        <v>65.412499999999994</v>
      </c>
    </row>
    <row r="89" spans="2:30">
      <c r="B89" s="13">
        <f t="shared" si="1"/>
        <v>77</v>
      </c>
      <c r="C89" s="24" t="s">
        <v>2276</v>
      </c>
      <c r="D89" s="58" t="s">
        <v>2283</v>
      </c>
      <c r="E89" s="482"/>
      <c r="F89" s="523">
        <v>1</v>
      </c>
      <c r="G89" s="471"/>
      <c r="H89" s="650">
        <v>0</v>
      </c>
      <c r="I89" s="471"/>
      <c r="J89" s="15"/>
      <c r="K89" s="99">
        <v>180000000</v>
      </c>
      <c r="L89" s="13"/>
      <c r="M89" s="17"/>
      <c r="N89" s="17"/>
      <c r="O89" s="18"/>
      <c r="P89" s="18"/>
      <c r="Q89" s="17"/>
      <c r="R89" s="17"/>
      <c r="S89" s="17"/>
      <c r="T89" s="17"/>
      <c r="U89" s="17"/>
      <c r="V89" s="17"/>
      <c r="W89" s="17"/>
      <c r="X89" s="17"/>
      <c r="Y89" s="466">
        <v>100</v>
      </c>
      <c r="Z89" s="466">
        <v>100</v>
      </c>
      <c r="AA89" s="20">
        <v>108830000</v>
      </c>
      <c r="AB89" s="19">
        <f t="shared" si="8"/>
        <v>60.461111111111109</v>
      </c>
      <c r="AC89" s="20">
        <f>AA89</f>
        <v>108830000</v>
      </c>
      <c r="AD89" s="19">
        <f t="shared" si="7"/>
        <v>60.461111111111109</v>
      </c>
    </row>
    <row r="90" spans="2:30">
      <c r="B90" s="13"/>
      <c r="C90" s="23" t="s">
        <v>131</v>
      </c>
      <c r="D90" s="14" t="s">
        <v>132</v>
      </c>
      <c r="E90" s="482"/>
      <c r="F90" s="523"/>
      <c r="G90" s="471"/>
      <c r="H90" s="650">
        <v>0</v>
      </c>
      <c r="I90" s="471"/>
      <c r="J90" s="15"/>
      <c r="K90" s="25"/>
      <c r="L90" s="13"/>
      <c r="M90" s="17"/>
      <c r="N90" s="17"/>
      <c r="O90" s="18"/>
      <c r="P90" s="18"/>
      <c r="Q90" s="17"/>
      <c r="R90" s="17"/>
      <c r="S90" s="17"/>
      <c r="T90" s="17"/>
      <c r="U90" s="17"/>
      <c r="V90" s="17"/>
      <c r="W90" s="17"/>
      <c r="X90" s="17"/>
      <c r="Y90" s="19"/>
      <c r="Z90" s="19"/>
      <c r="AA90" s="20">
        <v>0</v>
      </c>
      <c r="AB90" s="19"/>
      <c r="AC90" s="20"/>
      <c r="AD90" s="19"/>
    </row>
    <row r="91" spans="2:30">
      <c r="B91" s="13">
        <v>78</v>
      </c>
      <c r="C91" s="24" t="s">
        <v>2284</v>
      </c>
      <c r="D91" s="21" t="s">
        <v>133</v>
      </c>
      <c r="E91" s="482"/>
      <c r="F91" s="523">
        <v>1</v>
      </c>
      <c r="G91" s="471" t="s">
        <v>1845</v>
      </c>
      <c r="H91" s="650">
        <v>0</v>
      </c>
      <c r="I91" s="471" t="s">
        <v>1845</v>
      </c>
      <c r="J91" s="15">
        <v>30000000</v>
      </c>
      <c r="K91" s="99">
        <v>30000000</v>
      </c>
      <c r="L91" s="13"/>
      <c r="M91" s="17"/>
      <c r="N91" s="17"/>
      <c r="O91" s="18"/>
      <c r="P91" s="18"/>
      <c r="Q91" s="17"/>
      <c r="R91" s="17"/>
      <c r="S91" s="17"/>
      <c r="T91" s="17"/>
      <c r="U91" s="17"/>
      <c r="V91" s="17"/>
      <c r="W91" s="17"/>
      <c r="X91" s="17"/>
      <c r="Y91" s="466">
        <v>100</v>
      </c>
      <c r="Z91" s="466">
        <v>100</v>
      </c>
      <c r="AA91" s="20">
        <v>27968000</v>
      </c>
      <c r="AB91" s="19">
        <f t="shared" si="8"/>
        <v>93.226666666666674</v>
      </c>
      <c r="AC91" s="20">
        <f t="shared" si="0"/>
        <v>27968000</v>
      </c>
      <c r="AD91" s="19">
        <f t="shared" si="7"/>
        <v>93.226666666666674</v>
      </c>
    </row>
    <row r="92" spans="2:30">
      <c r="B92" s="13">
        <f>B91+1</f>
        <v>79</v>
      </c>
      <c r="C92" s="24" t="s">
        <v>134</v>
      </c>
      <c r="D92" s="21" t="s">
        <v>135</v>
      </c>
      <c r="E92" s="482"/>
      <c r="F92" s="523">
        <v>1</v>
      </c>
      <c r="G92" s="471" t="s">
        <v>1845</v>
      </c>
      <c r="H92" s="650">
        <v>0</v>
      </c>
      <c r="I92" s="471" t="s">
        <v>1845</v>
      </c>
      <c r="J92" s="15">
        <v>70100000</v>
      </c>
      <c r="K92" s="99">
        <v>70100000</v>
      </c>
      <c r="L92" s="13"/>
      <c r="M92" s="17"/>
      <c r="N92" s="17"/>
      <c r="O92" s="18"/>
      <c r="P92" s="18"/>
      <c r="Q92" s="17"/>
      <c r="R92" s="17"/>
      <c r="S92" s="17"/>
      <c r="T92" s="17"/>
      <c r="U92" s="17"/>
      <c r="V92" s="17"/>
      <c r="W92" s="17"/>
      <c r="X92" s="17"/>
      <c r="Y92" s="466">
        <v>100</v>
      </c>
      <c r="Z92" s="466">
        <v>100</v>
      </c>
      <c r="AA92" s="20">
        <v>62220000</v>
      </c>
      <c r="AB92" s="19">
        <f t="shared" si="8"/>
        <v>88.758915834522114</v>
      </c>
      <c r="AC92" s="20">
        <f t="shared" si="0"/>
        <v>62220000</v>
      </c>
      <c r="AD92" s="19">
        <f t="shared" si="7"/>
        <v>88.758915834522114</v>
      </c>
    </row>
    <row r="93" spans="2:30">
      <c r="B93" s="13">
        <f t="shared" ref="B93:B94" si="9">B92+1</f>
        <v>80</v>
      </c>
      <c r="C93" s="24" t="s">
        <v>2285</v>
      </c>
      <c r="D93" s="58" t="s">
        <v>2286</v>
      </c>
      <c r="E93" s="482"/>
      <c r="F93" s="523">
        <v>1</v>
      </c>
      <c r="G93" s="471"/>
      <c r="H93" s="650"/>
      <c r="I93" s="471"/>
      <c r="J93" s="15"/>
      <c r="K93" s="99">
        <v>67500000</v>
      </c>
      <c r="L93" s="13"/>
      <c r="M93" s="17"/>
      <c r="N93" s="17"/>
      <c r="O93" s="18"/>
      <c r="P93" s="18"/>
      <c r="Q93" s="17"/>
      <c r="R93" s="17"/>
      <c r="S93" s="17"/>
      <c r="T93" s="17"/>
      <c r="U93" s="17"/>
      <c r="V93" s="17"/>
      <c r="W93" s="17"/>
      <c r="X93" s="17"/>
      <c r="Y93" s="466"/>
      <c r="Z93" s="466"/>
      <c r="AA93" s="20"/>
      <c r="AB93" s="19">
        <f t="shared" si="8"/>
        <v>0</v>
      </c>
      <c r="AC93" s="20"/>
      <c r="AD93" s="19">
        <f t="shared" si="7"/>
        <v>0</v>
      </c>
    </row>
    <row r="94" spans="2:30" ht="25.5">
      <c r="B94" s="13">
        <f t="shared" si="9"/>
        <v>81</v>
      </c>
      <c r="C94" s="24" t="s">
        <v>136</v>
      </c>
      <c r="D94" s="21" t="s">
        <v>137</v>
      </c>
      <c r="E94" s="482"/>
      <c r="F94" s="523">
        <v>1</v>
      </c>
      <c r="G94" s="471" t="s">
        <v>1845</v>
      </c>
      <c r="H94" s="650">
        <v>0</v>
      </c>
      <c r="I94" s="471" t="s">
        <v>1845</v>
      </c>
      <c r="J94" s="15">
        <v>30000000</v>
      </c>
      <c r="K94" s="99">
        <v>30000000</v>
      </c>
      <c r="L94" s="13"/>
      <c r="M94" s="17"/>
      <c r="N94" s="17"/>
      <c r="O94" s="18"/>
      <c r="P94" s="18"/>
      <c r="Q94" s="17"/>
      <c r="R94" s="17"/>
      <c r="S94" s="17"/>
      <c r="T94" s="17"/>
      <c r="U94" s="17"/>
      <c r="V94" s="17"/>
      <c r="W94" s="17"/>
      <c r="X94" s="17"/>
      <c r="Y94" s="466">
        <v>100</v>
      </c>
      <c r="Z94" s="466">
        <v>100</v>
      </c>
      <c r="AA94" s="20">
        <v>29930000</v>
      </c>
      <c r="AB94" s="19">
        <f t="shared" si="8"/>
        <v>99.766666666666666</v>
      </c>
      <c r="AC94" s="20">
        <f t="shared" si="0"/>
        <v>29930000</v>
      </c>
      <c r="AD94" s="19">
        <f t="shared" si="7"/>
        <v>99.766666666666666</v>
      </c>
    </row>
    <row r="95" spans="2:30">
      <c r="B95" s="13">
        <f t="shared" si="1"/>
        <v>82</v>
      </c>
      <c r="C95" s="24" t="s">
        <v>138</v>
      </c>
      <c r="D95" s="21" t="s">
        <v>139</v>
      </c>
      <c r="E95" s="482"/>
      <c r="F95" s="523">
        <v>1</v>
      </c>
      <c r="G95" s="471" t="s">
        <v>1845</v>
      </c>
      <c r="H95" s="650">
        <v>0</v>
      </c>
      <c r="I95" s="471" t="s">
        <v>1845</v>
      </c>
      <c r="J95" s="15">
        <v>69800000</v>
      </c>
      <c r="K95" s="99">
        <v>69800000</v>
      </c>
      <c r="L95" s="13"/>
      <c r="M95" s="17"/>
      <c r="N95" s="17"/>
      <c r="O95" s="18"/>
      <c r="P95" s="18"/>
      <c r="Q95" s="17"/>
      <c r="R95" s="17"/>
      <c r="S95" s="17"/>
      <c r="T95" s="17"/>
      <c r="U95" s="17"/>
      <c r="V95" s="17"/>
      <c r="W95" s="17"/>
      <c r="X95" s="17"/>
      <c r="Y95" s="466">
        <v>100</v>
      </c>
      <c r="Z95" s="466">
        <v>100</v>
      </c>
      <c r="AA95" s="20">
        <v>69800000</v>
      </c>
      <c r="AB95" s="19">
        <f t="shared" si="8"/>
        <v>100</v>
      </c>
      <c r="AC95" s="20">
        <f t="shared" si="0"/>
        <v>69800000</v>
      </c>
      <c r="AD95" s="19">
        <f t="shared" si="7"/>
        <v>100</v>
      </c>
    </row>
    <row r="96" spans="2:30" ht="25.5">
      <c r="B96" s="13">
        <f t="shared" si="1"/>
        <v>83</v>
      </c>
      <c r="C96" s="24" t="s">
        <v>140</v>
      </c>
      <c r="D96" s="21" t="s">
        <v>141</v>
      </c>
      <c r="E96" s="482"/>
      <c r="F96" s="523">
        <v>1</v>
      </c>
      <c r="G96" s="471" t="s">
        <v>1845</v>
      </c>
      <c r="H96" s="650">
        <v>0</v>
      </c>
      <c r="I96" s="471" t="s">
        <v>1845</v>
      </c>
      <c r="J96" s="15">
        <v>11000000</v>
      </c>
      <c r="K96" s="99">
        <v>11000000</v>
      </c>
      <c r="L96" s="13"/>
      <c r="M96" s="17"/>
      <c r="N96" s="17"/>
      <c r="O96" s="18"/>
      <c r="P96" s="17"/>
      <c r="Q96" s="17"/>
      <c r="R96" s="17"/>
      <c r="S96" s="17"/>
      <c r="T96" s="17"/>
      <c r="U96" s="17"/>
      <c r="V96" s="17"/>
      <c r="W96" s="17"/>
      <c r="X96" s="17"/>
      <c r="Y96" s="466">
        <v>100</v>
      </c>
      <c r="Z96" s="466">
        <v>100</v>
      </c>
      <c r="AA96" s="20">
        <v>8340000</v>
      </c>
      <c r="AB96" s="19">
        <f t="shared" si="8"/>
        <v>75.818181818181813</v>
      </c>
      <c r="AC96" s="20">
        <f t="shared" si="0"/>
        <v>8340000</v>
      </c>
      <c r="AD96" s="19">
        <f t="shared" si="7"/>
        <v>75.818181818181813</v>
      </c>
    </row>
    <row r="97" spans="2:30">
      <c r="B97" s="13">
        <f t="shared" si="1"/>
        <v>84</v>
      </c>
      <c r="C97" s="24" t="s">
        <v>142</v>
      </c>
      <c r="D97" s="21" t="s">
        <v>143</v>
      </c>
      <c r="E97" s="482"/>
      <c r="F97" s="523">
        <v>1</v>
      </c>
      <c r="G97" s="471" t="s">
        <v>1845</v>
      </c>
      <c r="H97" s="650">
        <v>0</v>
      </c>
      <c r="I97" s="471" t="s">
        <v>1845</v>
      </c>
      <c r="J97" s="15">
        <v>9290000</v>
      </c>
      <c r="K97" s="99">
        <v>9290000</v>
      </c>
      <c r="L97" s="13"/>
      <c r="M97" s="17"/>
      <c r="N97" s="17"/>
      <c r="O97" s="18"/>
      <c r="P97" s="17"/>
      <c r="Q97" s="17"/>
      <c r="R97" s="17"/>
      <c r="S97" s="17"/>
      <c r="T97" s="17"/>
      <c r="U97" s="17"/>
      <c r="V97" s="17"/>
      <c r="W97" s="17"/>
      <c r="X97" s="17"/>
      <c r="Y97" s="466">
        <v>100</v>
      </c>
      <c r="Z97" s="466">
        <v>100</v>
      </c>
      <c r="AA97" s="20">
        <v>4828000</v>
      </c>
      <c r="AB97" s="19">
        <f t="shared" si="8"/>
        <v>51.969860064585575</v>
      </c>
      <c r="AC97" s="20">
        <f t="shared" si="0"/>
        <v>4828000</v>
      </c>
      <c r="AD97" s="19">
        <f t="shared" si="7"/>
        <v>51.969860064585575</v>
      </c>
    </row>
    <row r="98" spans="2:30" ht="25.5">
      <c r="B98" s="13">
        <f t="shared" si="1"/>
        <v>85</v>
      </c>
      <c r="C98" s="24" t="s">
        <v>144</v>
      </c>
      <c r="D98" s="21" t="s">
        <v>145</v>
      </c>
      <c r="E98" s="482"/>
      <c r="F98" s="523">
        <v>1</v>
      </c>
      <c r="G98" s="471" t="s">
        <v>1845</v>
      </c>
      <c r="H98" s="650">
        <v>0</v>
      </c>
      <c r="I98" s="471" t="s">
        <v>1845</v>
      </c>
      <c r="J98" s="15">
        <v>100000000</v>
      </c>
      <c r="K98" s="99">
        <v>100000000</v>
      </c>
      <c r="L98" s="13"/>
      <c r="M98" s="17"/>
      <c r="N98" s="17"/>
      <c r="O98" s="18"/>
      <c r="P98" s="17"/>
      <c r="Q98" s="17"/>
      <c r="R98" s="17"/>
      <c r="S98" s="17"/>
      <c r="T98" s="17"/>
      <c r="U98" s="17"/>
      <c r="V98" s="17"/>
      <c r="W98" s="17"/>
      <c r="X98" s="17"/>
      <c r="Y98" s="466">
        <v>100</v>
      </c>
      <c r="Z98" s="466">
        <v>100</v>
      </c>
      <c r="AA98" s="20">
        <v>99000000</v>
      </c>
      <c r="AB98" s="19">
        <f t="shared" si="8"/>
        <v>99</v>
      </c>
      <c r="AC98" s="20">
        <f t="shared" si="0"/>
        <v>99000000</v>
      </c>
      <c r="AD98" s="19">
        <f t="shared" si="7"/>
        <v>99</v>
      </c>
    </row>
    <row r="99" spans="2:30">
      <c r="B99" s="13">
        <f t="shared" si="1"/>
        <v>86</v>
      </c>
      <c r="C99" s="24" t="s">
        <v>2287</v>
      </c>
      <c r="D99" s="58" t="s">
        <v>2295</v>
      </c>
      <c r="E99" s="482"/>
      <c r="F99" s="523">
        <v>1</v>
      </c>
      <c r="G99" s="471"/>
      <c r="H99" s="650"/>
      <c r="I99" s="471"/>
      <c r="J99" s="15"/>
      <c r="K99" s="99">
        <v>93600000</v>
      </c>
      <c r="L99" s="13"/>
      <c r="M99" s="17"/>
      <c r="N99" s="17"/>
      <c r="O99" s="18"/>
      <c r="P99" s="17"/>
      <c r="Q99" s="17"/>
      <c r="R99" s="17"/>
      <c r="S99" s="17"/>
      <c r="T99" s="17"/>
      <c r="U99" s="17"/>
      <c r="V99" s="17"/>
      <c r="W99" s="17"/>
      <c r="X99" s="17"/>
      <c r="Y99" s="466">
        <v>40</v>
      </c>
      <c r="Z99" s="466">
        <v>20</v>
      </c>
      <c r="AA99" s="20">
        <v>0</v>
      </c>
      <c r="AB99" s="19">
        <f t="shared" si="8"/>
        <v>0</v>
      </c>
      <c r="AC99" s="20">
        <f t="shared" si="0"/>
        <v>0</v>
      </c>
      <c r="AD99" s="19">
        <f t="shared" si="7"/>
        <v>0</v>
      </c>
    </row>
    <row r="100" spans="2:30" ht="25.5">
      <c r="B100" s="13">
        <f t="shared" si="1"/>
        <v>87</v>
      </c>
      <c r="C100" s="24" t="s">
        <v>2288</v>
      </c>
      <c r="D100" s="75" t="s">
        <v>2296</v>
      </c>
      <c r="E100" s="482"/>
      <c r="F100" s="523">
        <v>1</v>
      </c>
      <c r="G100" s="471"/>
      <c r="H100" s="650"/>
      <c r="I100" s="471"/>
      <c r="J100" s="15"/>
      <c r="K100" s="99">
        <v>50000000</v>
      </c>
      <c r="L100" s="13"/>
      <c r="M100" s="17"/>
      <c r="N100" s="17"/>
      <c r="O100" s="18"/>
      <c r="P100" s="17"/>
      <c r="Q100" s="17"/>
      <c r="R100" s="17"/>
      <c r="S100" s="17"/>
      <c r="T100" s="17"/>
      <c r="U100" s="17"/>
      <c r="V100" s="17"/>
      <c r="W100" s="17"/>
      <c r="X100" s="17"/>
      <c r="Y100" s="466">
        <v>40</v>
      </c>
      <c r="Z100" s="466">
        <v>20</v>
      </c>
      <c r="AA100" s="20">
        <v>0</v>
      </c>
      <c r="AB100" s="19">
        <f t="shared" si="8"/>
        <v>0</v>
      </c>
      <c r="AC100" s="20">
        <f t="shared" si="0"/>
        <v>0</v>
      </c>
      <c r="AD100" s="19">
        <f t="shared" si="7"/>
        <v>0</v>
      </c>
    </row>
    <row r="101" spans="2:30" ht="25.5">
      <c r="B101" s="13">
        <f t="shared" si="1"/>
        <v>88</v>
      </c>
      <c r="C101" s="24" t="s">
        <v>2289</v>
      </c>
      <c r="D101" s="75" t="s">
        <v>2297</v>
      </c>
      <c r="E101" s="482"/>
      <c r="F101" s="523">
        <v>1</v>
      </c>
      <c r="G101" s="471"/>
      <c r="H101" s="650"/>
      <c r="I101" s="471"/>
      <c r="J101" s="15"/>
      <c r="K101" s="99">
        <v>50000000</v>
      </c>
      <c r="L101" s="13"/>
      <c r="M101" s="17"/>
      <c r="N101" s="17"/>
      <c r="O101" s="18"/>
      <c r="P101" s="17"/>
      <c r="Q101" s="17"/>
      <c r="R101" s="17"/>
      <c r="S101" s="17"/>
      <c r="T101" s="17"/>
      <c r="U101" s="17"/>
      <c r="V101" s="17"/>
      <c r="W101" s="17"/>
      <c r="X101" s="17"/>
      <c r="Y101" s="466">
        <v>40</v>
      </c>
      <c r="Z101" s="466">
        <v>20</v>
      </c>
      <c r="AA101" s="20">
        <v>0</v>
      </c>
      <c r="AB101" s="19">
        <f t="shared" si="8"/>
        <v>0</v>
      </c>
      <c r="AC101" s="20">
        <f t="shared" si="0"/>
        <v>0</v>
      </c>
      <c r="AD101" s="19">
        <f t="shared" si="7"/>
        <v>0</v>
      </c>
    </row>
    <row r="102" spans="2:30" ht="25.5">
      <c r="B102" s="13">
        <f t="shared" si="1"/>
        <v>89</v>
      </c>
      <c r="C102" s="24" t="s">
        <v>2290</v>
      </c>
      <c r="D102" s="75" t="s">
        <v>2298</v>
      </c>
      <c r="E102" s="482"/>
      <c r="F102" s="523">
        <v>1</v>
      </c>
      <c r="G102" s="471"/>
      <c r="H102" s="650"/>
      <c r="I102" s="471"/>
      <c r="J102" s="15"/>
      <c r="K102" s="99">
        <v>75000000</v>
      </c>
      <c r="L102" s="13"/>
      <c r="M102" s="17"/>
      <c r="N102" s="17"/>
      <c r="O102" s="18"/>
      <c r="P102" s="17"/>
      <c r="Q102" s="17"/>
      <c r="R102" s="17"/>
      <c r="S102" s="17"/>
      <c r="T102" s="17"/>
      <c r="U102" s="17"/>
      <c r="V102" s="17"/>
      <c r="W102" s="17"/>
      <c r="X102" s="17"/>
      <c r="Y102" s="466">
        <v>40</v>
      </c>
      <c r="Z102" s="466">
        <v>20</v>
      </c>
      <c r="AA102" s="20">
        <v>0</v>
      </c>
      <c r="AB102" s="19">
        <f t="shared" si="8"/>
        <v>0</v>
      </c>
      <c r="AC102" s="20">
        <f t="shared" si="0"/>
        <v>0</v>
      </c>
      <c r="AD102" s="19">
        <f t="shared" si="7"/>
        <v>0</v>
      </c>
    </row>
    <row r="103" spans="2:30" ht="25.5">
      <c r="B103" s="13">
        <f t="shared" si="1"/>
        <v>90</v>
      </c>
      <c r="C103" s="24" t="s">
        <v>2291</v>
      </c>
      <c r="D103" s="75" t="s">
        <v>2299</v>
      </c>
      <c r="E103" s="482"/>
      <c r="F103" s="523">
        <v>1</v>
      </c>
      <c r="G103" s="471"/>
      <c r="H103" s="650"/>
      <c r="I103" s="471"/>
      <c r="J103" s="15"/>
      <c r="K103" s="99">
        <v>40000000</v>
      </c>
      <c r="L103" s="13"/>
      <c r="M103" s="17"/>
      <c r="N103" s="17"/>
      <c r="O103" s="18"/>
      <c r="P103" s="17"/>
      <c r="Q103" s="17"/>
      <c r="R103" s="17"/>
      <c r="S103" s="17"/>
      <c r="T103" s="17"/>
      <c r="U103" s="17"/>
      <c r="V103" s="17"/>
      <c r="W103" s="17"/>
      <c r="X103" s="17"/>
      <c r="Y103" s="466">
        <v>0</v>
      </c>
      <c r="Z103" s="466">
        <v>0</v>
      </c>
      <c r="AA103" s="20">
        <v>0</v>
      </c>
      <c r="AB103" s="19">
        <f t="shared" si="8"/>
        <v>0</v>
      </c>
      <c r="AC103" s="20">
        <f t="shared" si="0"/>
        <v>0</v>
      </c>
      <c r="AD103" s="19">
        <f t="shared" si="7"/>
        <v>0</v>
      </c>
    </row>
    <row r="104" spans="2:30">
      <c r="B104" s="13">
        <f t="shared" si="1"/>
        <v>91</v>
      </c>
      <c r="C104" s="24" t="s">
        <v>2292</v>
      </c>
      <c r="D104" s="58" t="s">
        <v>2300</v>
      </c>
      <c r="E104" s="482"/>
      <c r="F104" s="523">
        <v>1</v>
      </c>
      <c r="G104" s="471"/>
      <c r="H104" s="650"/>
      <c r="I104" s="471"/>
      <c r="J104" s="15"/>
      <c r="K104" s="99">
        <v>0</v>
      </c>
      <c r="L104" s="13"/>
      <c r="M104" s="17"/>
      <c r="N104" s="17"/>
      <c r="O104" s="18"/>
      <c r="P104" s="17"/>
      <c r="Q104" s="17"/>
      <c r="R104" s="17"/>
      <c r="S104" s="17"/>
      <c r="T104" s="17"/>
      <c r="U104" s="17"/>
      <c r="V104" s="17"/>
      <c r="W104" s="17"/>
      <c r="X104" s="17"/>
      <c r="Y104" s="466">
        <v>70</v>
      </c>
      <c r="Z104" s="466">
        <v>30</v>
      </c>
      <c r="AA104" s="20"/>
      <c r="AB104" s="19">
        <v>0</v>
      </c>
      <c r="AC104" s="20">
        <f t="shared" si="0"/>
        <v>0</v>
      </c>
      <c r="AD104" s="19">
        <v>0</v>
      </c>
    </row>
    <row r="105" spans="2:30">
      <c r="B105" s="13">
        <f t="shared" si="1"/>
        <v>92</v>
      </c>
      <c r="C105" s="24" t="s">
        <v>2293</v>
      </c>
      <c r="D105" s="58" t="s">
        <v>2301</v>
      </c>
      <c r="E105" s="482"/>
      <c r="F105" s="523">
        <v>1</v>
      </c>
      <c r="G105" s="471"/>
      <c r="H105" s="650"/>
      <c r="I105" s="471"/>
      <c r="J105" s="15"/>
      <c r="K105" s="99">
        <v>49444000</v>
      </c>
      <c r="L105" s="13"/>
      <c r="M105" s="17"/>
      <c r="N105" s="17"/>
      <c r="O105" s="18"/>
      <c r="P105" s="17"/>
      <c r="Q105" s="17"/>
      <c r="R105" s="17"/>
      <c r="S105" s="17"/>
      <c r="T105" s="17"/>
      <c r="U105" s="17"/>
      <c r="V105" s="17"/>
      <c r="W105" s="17"/>
      <c r="X105" s="17"/>
      <c r="Y105" s="466"/>
      <c r="Z105" s="466"/>
      <c r="AA105" s="20"/>
      <c r="AB105" s="19">
        <f t="shared" si="8"/>
        <v>0</v>
      </c>
      <c r="AC105" s="20"/>
      <c r="AD105" s="19">
        <f t="shared" si="7"/>
        <v>0</v>
      </c>
    </row>
    <row r="106" spans="2:30">
      <c r="B106" s="13">
        <f t="shared" si="1"/>
        <v>93</v>
      </c>
      <c r="C106" s="24" t="s">
        <v>2294</v>
      </c>
      <c r="D106" s="58" t="s">
        <v>2302</v>
      </c>
      <c r="E106" s="482"/>
      <c r="F106" s="523">
        <v>1</v>
      </c>
      <c r="G106" s="471"/>
      <c r="H106" s="650"/>
      <c r="I106" s="471"/>
      <c r="J106" s="15"/>
      <c r="K106" s="99">
        <v>63000000</v>
      </c>
      <c r="L106" s="13"/>
      <c r="M106" s="17"/>
      <c r="N106" s="17"/>
      <c r="O106" s="18"/>
      <c r="P106" s="17"/>
      <c r="Q106" s="17"/>
      <c r="R106" s="17"/>
      <c r="S106" s="17"/>
      <c r="T106" s="17"/>
      <c r="U106" s="17"/>
      <c r="V106" s="17"/>
      <c r="W106" s="17"/>
      <c r="X106" s="17"/>
      <c r="Y106" s="466"/>
      <c r="Z106" s="466"/>
      <c r="AA106" s="20"/>
      <c r="AB106" s="19">
        <f t="shared" si="8"/>
        <v>0</v>
      </c>
      <c r="AC106" s="20"/>
      <c r="AD106" s="19">
        <f t="shared" si="7"/>
        <v>0</v>
      </c>
    </row>
    <row r="107" spans="2:30">
      <c r="B107" s="13"/>
      <c r="C107" s="23" t="s">
        <v>146</v>
      </c>
      <c r="D107" s="14" t="s">
        <v>147</v>
      </c>
      <c r="E107" s="482"/>
      <c r="F107" s="523"/>
      <c r="G107" s="471"/>
      <c r="H107" s="650"/>
      <c r="I107" s="471"/>
      <c r="J107" s="15"/>
      <c r="K107" s="25"/>
      <c r="L107" s="13"/>
      <c r="M107" s="17"/>
      <c r="N107" s="17"/>
      <c r="O107" s="18"/>
      <c r="P107" s="17"/>
      <c r="Q107" s="17"/>
      <c r="R107" s="17"/>
      <c r="S107" s="17"/>
      <c r="T107" s="17"/>
      <c r="U107" s="17"/>
      <c r="V107" s="17"/>
      <c r="W107" s="17"/>
      <c r="X107" s="17"/>
      <c r="Y107" s="19"/>
      <c r="Z107" s="19"/>
      <c r="AA107" s="20">
        <v>0</v>
      </c>
      <c r="AB107" s="19"/>
      <c r="AC107" s="20"/>
      <c r="AD107" s="19"/>
    </row>
    <row r="108" spans="2:30" ht="25.5">
      <c r="B108" s="13">
        <v>94</v>
      </c>
      <c r="C108" s="24" t="s">
        <v>148</v>
      </c>
      <c r="D108" s="21" t="s">
        <v>149</v>
      </c>
      <c r="E108" s="482"/>
      <c r="F108" s="523">
        <v>1</v>
      </c>
      <c r="G108" s="471" t="s">
        <v>1845</v>
      </c>
      <c r="H108" s="650">
        <v>0</v>
      </c>
      <c r="I108" s="471" t="s">
        <v>1845</v>
      </c>
      <c r="J108" s="15">
        <v>18350000</v>
      </c>
      <c r="K108" s="99">
        <v>18350000</v>
      </c>
      <c r="L108" s="13"/>
      <c r="M108" s="17"/>
      <c r="N108" s="17"/>
      <c r="O108" s="18"/>
      <c r="P108" s="17"/>
      <c r="Q108" s="17"/>
      <c r="R108" s="17"/>
      <c r="S108" s="17"/>
      <c r="T108" s="17"/>
      <c r="U108" s="17"/>
      <c r="V108" s="17"/>
      <c r="W108" s="17"/>
      <c r="X108" s="17"/>
      <c r="Y108" s="466">
        <v>100</v>
      </c>
      <c r="Z108" s="466">
        <v>100</v>
      </c>
      <c r="AA108" s="20">
        <v>17414000</v>
      </c>
      <c r="AB108" s="19">
        <f t="shared" si="8"/>
        <v>94.89918256130791</v>
      </c>
      <c r="AC108" s="20">
        <f t="shared" si="0"/>
        <v>17414000</v>
      </c>
      <c r="AD108" s="19">
        <f t="shared" si="7"/>
        <v>94.89918256130791</v>
      </c>
    </row>
    <row r="109" spans="2:30" ht="25.5">
      <c r="B109" s="13">
        <f t="shared" si="1"/>
        <v>95</v>
      </c>
      <c r="C109" s="24" t="s">
        <v>150</v>
      </c>
      <c r="D109" s="21" t="s">
        <v>151</v>
      </c>
      <c r="E109" s="482"/>
      <c r="F109" s="523">
        <v>1</v>
      </c>
      <c r="G109" s="471" t="s">
        <v>1845</v>
      </c>
      <c r="H109" s="650">
        <v>0</v>
      </c>
      <c r="I109" s="471" t="s">
        <v>1845</v>
      </c>
      <c r="J109" s="15">
        <v>421463000</v>
      </c>
      <c r="K109" s="99">
        <v>421463000</v>
      </c>
      <c r="L109" s="13"/>
      <c r="M109" s="17"/>
      <c r="N109" s="17"/>
      <c r="O109" s="18"/>
      <c r="P109" s="17"/>
      <c r="Q109" s="17"/>
      <c r="R109" s="17"/>
      <c r="S109" s="17"/>
      <c r="T109" s="17"/>
      <c r="U109" s="17"/>
      <c r="V109" s="17"/>
      <c r="W109" s="17"/>
      <c r="X109" s="17"/>
      <c r="Y109" s="466">
        <v>100</v>
      </c>
      <c r="Z109" s="466">
        <v>100</v>
      </c>
      <c r="AA109" s="20">
        <v>389315627</v>
      </c>
      <c r="AB109" s="19">
        <f t="shared" si="8"/>
        <v>92.372432930055552</v>
      </c>
      <c r="AC109" s="20">
        <f t="shared" si="0"/>
        <v>389315627</v>
      </c>
      <c r="AD109" s="19">
        <f t="shared" si="7"/>
        <v>92.372432930055552</v>
      </c>
    </row>
    <row r="110" spans="2:30">
      <c r="B110" s="13">
        <f>B109+1</f>
        <v>96</v>
      </c>
      <c r="C110" s="24" t="s">
        <v>152</v>
      </c>
      <c r="D110" s="21" t="s">
        <v>153</v>
      </c>
      <c r="E110" s="482"/>
      <c r="F110" s="523">
        <v>1</v>
      </c>
      <c r="G110" s="471"/>
      <c r="H110" s="650">
        <v>0</v>
      </c>
      <c r="I110" s="471" t="s">
        <v>1845</v>
      </c>
      <c r="J110" s="15">
        <v>50000000</v>
      </c>
      <c r="K110" s="99">
        <v>50000000</v>
      </c>
      <c r="L110" s="13"/>
      <c r="M110" s="17"/>
      <c r="N110" s="17"/>
      <c r="O110" s="18"/>
      <c r="P110" s="18"/>
      <c r="Q110" s="17"/>
      <c r="R110" s="17"/>
      <c r="S110" s="17"/>
      <c r="T110" s="17"/>
      <c r="U110" s="17"/>
      <c r="V110" s="17"/>
      <c r="W110" s="17"/>
      <c r="X110" s="17"/>
      <c r="Y110" s="466">
        <v>0</v>
      </c>
      <c r="Z110" s="466">
        <v>0</v>
      </c>
      <c r="AA110" s="20">
        <v>0</v>
      </c>
      <c r="AB110" s="19">
        <f t="shared" si="8"/>
        <v>0</v>
      </c>
      <c r="AC110" s="20">
        <f t="shared" si="0"/>
        <v>0</v>
      </c>
      <c r="AD110" s="19">
        <f t="shared" si="7"/>
        <v>0</v>
      </c>
    </row>
    <row r="111" spans="2:30" ht="25.5">
      <c r="B111" s="13">
        <f t="shared" si="1"/>
        <v>97</v>
      </c>
      <c r="C111" s="24" t="s">
        <v>154</v>
      </c>
      <c r="D111" s="21" t="s">
        <v>155</v>
      </c>
      <c r="E111" s="482"/>
      <c r="F111" s="523">
        <v>1</v>
      </c>
      <c r="G111" s="471" t="s">
        <v>1845</v>
      </c>
      <c r="H111" s="650">
        <v>0</v>
      </c>
      <c r="I111" s="471" t="s">
        <v>1845</v>
      </c>
      <c r="J111" s="15">
        <v>147500000</v>
      </c>
      <c r="K111" s="99">
        <v>147500000</v>
      </c>
      <c r="L111" s="13"/>
      <c r="M111" s="17"/>
      <c r="N111" s="17"/>
      <c r="O111" s="18"/>
      <c r="P111" s="18"/>
      <c r="Q111" s="17"/>
      <c r="R111" s="17"/>
      <c r="S111" s="17"/>
      <c r="T111" s="17"/>
      <c r="U111" s="17"/>
      <c r="V111" s="17"/>
      <c r="W111" s="17"/>
      <c r="X111" s="17"/>
      <c r="Y111" s="466">
        <v>100</v>
      </c>
      <c r="Z111" s="466">
        <v>100</v>
      </c>
      <c r="AA111" s="20">
        <v>135790000</v>
      </c>
      <c r="AB111" s="19">
        <f t="shared" si="8"/>
        <v>92.061016949152545</v>
      </c>
      <c r="AC111" s="20">
        <f t="shared" si="0"/>
        <v>135790000</v>
      </c>
      <c r="AD111" s="19">
        <f t="shared" si="7"/>
        <v>92.061016949152545</v>
      </c>
    </row>
    <row r="112" spans="2:30">
      <c r="B112" s="13">
        <f t="shared" ref="B112:B147" si="10">B111+1</f>
        <v>98</v>
      </c>
      <c r="C112" s="24" t="s">
        <v>156</v>
      </c>
      <c r="D112" s="21" t="s">
        <v>157</v>
      </c>
      <c r="E112" s="482"/>
      <c r="F112" s="523">
        <v>1</v>
      </c>
      <c r="G112" s="471" t="s">
        <v>1845</v>
      </c>
      <c r="H112" s="650">
        <v>0</v>
      </c>
      <c r="I112" s="471" t="s">
        <v>1845</v>
      </c>
      <c r="J112" s="15">
        <v>100000000</v>
      </c>
      <c r="K112" s="99">
        <v>140000000</v>
      </c>
      <c r="L112" s="13"/>
      <c r="M112" s="17"/>
      <c r="N112" s="17"/>
      <c r="O112" s="18"/>
      <c r="P112" s="18"/>
      <c r="Q112" s="17"/>
      <c r="R112" s="17"/>
      <c r="S112" s="17"/>
      <c r="T112" s="17"/>
      <c r="U112" s="17"/>
      <c r="V112" s="17"/>
      <c r="W112" s="17"/>
      <c r="X112" s="17"/>
      <c r="Y112" s="466">
        <v>100</v>
      </c>
      <c r="Z112" s="466">
        <v>100</v>
      </c>
      <c r="AA112" s="20">
        <v>98057000</v>
      </c>
      <c r="AB112" s="19">
        <f t="shared" si="8"/>
        <v>70.040714285714287</v>
      </c>
      <c r="AC112" s="20">
        <f t="shared" si="0"/>
        <v>98057000</v>
      </c>
      <c r="AD112" s="19">
        <f t="shared" si="7"/>
        <v>70.040714285714287</v>
      </c>
    </row>
    <row r="113" spans="2:30" ht="38.25">
      <c r="B113" s="13">
        <f t="shared" si="10"/>
        <v>99</v>
      </c>
      <c r="C113" s="24" t="s">
        <v>158</v>
      </c>
      <c r="D113" s="21" t="s">
        <v>159</v>
      </c>
      <c r="E113" s="482"/>
      <c r="F113" s="523">
        <v>1</v>
      </c>
      <c r="G113" s="471" t="s">
        <v>1845</v>
      </c>
      <c r="H113" s="650">
        <v>0</v>
      </c>
      <c r="I113" s="471" t="s">
        <v>1845</v>
      </c>
      <c r="J113" s="15">
        <v>101000000</v>
      </c>
      <c r="K113" s="99">
        <v>101000000</v>
      </c>
      <c r="L113" s="13"/>
      <c r="M113" s="17"/>
      <c r="N113" s="17"/>
      <c r="O113" s="18"/>
      <c r="P113" s="18"/>
      <c r="Q113" s="17"/>
      <c r="R113" s="17"/>
      <c r="S113" s="17"/>
      <c r="T113" s="17"/>
      <c r="U113" s="17"/>
      <c r="V113" s="17"/>
      <c r="W113" s="17"/>
      <c r="X113" s="17"/>
      <c r="Y113" s="466">
        <v>100</v>
      </c>
      <c r="Z113" s="466">
        <v>100</v>
      </c>
      <c r="AA113" s="20">
        <v>99498000</v>
      </c>
      <c r="AB113" s="19">
        <f t="shared" si="8"/>
        <v>98.512871287128718</v>
      </c>
      <c r="AC113" s="20">
        <f t="shared" si="0"/>
        <v>99498000</v>
      </c>
      <c r="AD113" s="19">
        <f t="shared" si="7"/>
        <v>98.512871287128718</v>
      </c>
    </row>
    <row r="114" spans="2:30" ht="25.5">
      <c r="B114" s="13">
        <f t="shared" si="10"/>
        <v>100</v>
      </c>
      <c r="C114" s="24" t="s">
        <v>160</v>
      </c>
      <c r="D114" s="21" t="s">
        <v>161</v>
      </c>
      <c r="E114" s="571"/>
      <c r="F114" s="523">
        <v>1</v>
      </c>
      <c r="G114" s="471" t="s">
        <v>1845</v>
      </c>
      <c r="H114" s="650">
        <v>0</v>
      </c>
      <c r="I114" s="471" t="s">
        <v>1845</v>
      </c>
      <c r="J114" s="15">
        <v>995875000</v>
      </c>
      <c r="K114" s="99">
        <v>1322500000</v>
      </c>
      <c r="L114" s="13"/>
      <c r="M114" s="17"/>
      <c r="N114" s="17"/>
      <c r="O114" s="18"/>
      <c r="P114" s="18"/>
      <c r="Q114" s="17"/>
      <c r="R114" s="17"/>
      <c r="S114" s="17"/>
      <c r="T114" s="17"/>
      <c r="U114" s="17"/>
      <c r="V114" s="17"/>
      <c r="W114" s="17"/>
      <c r="X114" s="17"/>
      <c r="Y114" s="466">
        <v>100</v>
      </c>
      <c r="Z114" s="466">
        <v>100</v>
      </c>
      <c r="AA114" s="20">
        <v>1188602500</v>
      </c>
      <c r="AB114" s="19">
        <f t="shared" si="8"/>
        <v>89.875425330812845</v>
      </c>
      <c r="AC114" s="20">
        <f>AA114</f>
        <v>1188602500</v>
      </c>
      <c r="AD114" s="19">
        <f t="shared" si="7"/>
        <v>89.875425330812845</v>
      </c>
    </row>
    <row r="115" spans="2:30">
      <c r="B115" s="13">
        <f t="shared" si="10"/>
        <v>101</v>
      </c>
      <c r="C115" s="24" t="s">
        <v>162</v>
      </c>
      <c r="D115" s="21" t="s">
        <v>163</v>
      </c>
      <c r="E115" s="482"/>
      <c r="F115" s="523">
        <v>1</v>
      </c>
      <c r="G115" s="471" t="s">
        <v>1845</v>
      </c>
      <c r="H115" s="650">
        <v>0</v>
      </c>
      <c r="I115" s="471" t="s">
        <v>1845</v>
      </c>
      <c r="J115" s="15">
        <v>5437084000</v>
      </c>
      <c r="K115" s="99">
        <v>6279784000</v>
      </c>
      <c r="L115" s="13"/>
      <c r="M115" s="17"/>
      <c r="N115" s="17"/>
      <c r="O115" s="18"/>
      <c r="P115" s="18"/>
      <c r="Q115" s="17"/>
      <c r="R115" s="17"/>
      <c r="S115" s="17"/>
      <c r="T115" s="17"/>
      <c r="U115" s="17"/>
      <c r="V115" s="17"/>
      <c r="W115" s="17"/>
      <c r="X115" s="17"/>
      <c r="Y115" s="466">
        <v>100</v>
      </c>
      <c r="Z115" s="466">
        <v>100</v>
      </c>
      <c r="AA115" s="467">
        <v>4615500000</v>
      </c>
      <c r="AB115" s="19">
        <f t="shared" si="8"/>
        <v>73.497750878055683</v>
      </c>
      <c r="AC115" s="20">
        <f t="shared" si="0"/>
        <v>4615500000</v>
      </c>
      <c r="AD115" s="19">
        <f t="shared" si="7"/>
        <v>73.497750878055683</v>
      </c>
    </row>
    <row r="116" spans="2:30">
      <c r="B116" s="13">
        <f t="shared" si="10"/>
        <v>102</v>
      </c>
      <c r="C116" s="24" t="s">
        <v>164</v>
      </c>
      <c r="D116" s="21" t="s">
        <v>165</v>
      </c>
      <c r="E116" s="482"/>
      <c r="F116" s="523">
        <v>1</v>
      </c>
      <c r="G116" s="471" t="s">
        <v>1845</v>
      </c>
      <c r="H116" s="650">
        <v>0</v>
      </c>
      <c r="I116" s="471" t="s">
        <v>1845</v>
      </c>
      <c r="J116" s="15">
        <v>51000000</v>
      </c>
      <c r="K116" s="99">
        <v>51000000</v>
      </c>
      <c r="L116" s="13"/>
      <c r="M116" s="17"/>
      <c r="N116" s="17"/>
      <c r="O116" s="18"/>
      <c r="P116" s="18"/>
      <c r="Q116" s="17"/>
      <c r="R116" s="17"/>
      <c r="S116" s="17"/>
      <c r="T116" s="17"/>
      <c r="U116" s="17"/>
      <c r="V116" s="17"/>
      <c r="W116" s="17"/>
      <c r="X116" s="17"/>
      <c r="Y116" s="466">
        <v>100</v>
      </c>
      <c r="Z116" s="466">
        <v>100</v>
      </c>
      <c r="AA116" s="20">
        <v>442700000</v>
      </c>
      <c r="AB116" s="19">
        <f t="shared" si="8"/>
        <v>868.03921568627447</v>
      </c>
      <c r="AC116" s="20">
        <f t="shared" si="0"/>
        <v>442700000</v>
      </c>
      <c r="AD116" s="19">
        <f t="shared" si="7"/>
        <v>868.03921568627447</v>
      </c>
    </row>
    <row r="117" spans="2:30" ht="25.5">
      <c r="B117" s="13">
        <f t="shared" si="10"/>
        <v>103</v>
      </c>
      <c r="C117" s="24" t="s">
        <v>166</v>
      </c>
      <c r="D117" s="21" t="s">
        <v>167</v>
      </c>
      <c r="E117" s="482"/>
      <c r="F117" s="523">
        <v>1</v>
      </c>
      <c r="G117" s="471" t="s">
        <v>1845</v>
      </c>
      <c r="H117" s="650">
        <v>0</v>
      </c>
      <c r="I117" s="471" t="s">
        <v>1845</v>
      </c>
      <c r="J117" s="15">
        <v>46000000</v>
      </c>
      <c r="K117" s="99">
        <v>171000000</v>
      </c>
      <c r="L117" s="13"/>
      <c r="M117" s="17"/>
      <c r="N117" s="17"/>
      <c r="O117" s="18"/>
      <c r="P117" s="18"/>
      <c r="Q117" s="17"/>
      <c r="R117" s="17"/>
      <c r="S117" s="17"/>
      <c r="T117" s="17"/>
      <c r="U117" s="17"/>
      <c r="V117" s="17"/>
      <c r="W117" s="17"/>
      <c r="X117" s="17"/>
      <c r="Y117" s="466">
        <v>100</v>
      </c>
      <c r="Z117" s="466">
        <v>100</v>
      </c>
      <c r="AA117" s="20">
        <v>149770500</v>
      </c>
      <c r="AB117" s="19">
        <f t="shared" si="8"/>
        <v>87.585087719298244</v>
      </c>
      <c r="AC117" s="20">
        <f t="shared" ref="AC117:AC136" si="11">AA117</f>
        <v>149770500</v>
      </c>
      <c r="AD117" s="19">
        <f t="shared" si="7"/>
        <v>87.585087719298244</v>
      </c>
    </row>
    <row r="118" spans="2:30" ht="25.5">
      <c r="B118" s="13">
        <f t="shared" si="10"/>
        <v>104</v>
      </c>
      <c r="C118" s="24" t="s">
        <v>168</v>
      </c>
      <c r="D118" s="21" t="s">
        <v>169</v>
      </c>
      <c r="E118" s="482"/>
      <c r="F118" s="523">
        <v>1</v>
      </c>
      <c r="G118" s="471" t="s">
        <v>1845</v>
      </c>
      <c r="H118" s="650">
        <v>0</v>
      </c>
      <c r="I118" s="471" t="s">
        <v>1845</v>
      </c>
      <c r="J118" s="15">
        <v>71000000</v>
      </c>
      <c r="K118" s="99">
        <v>71000000</v>
      </c>
      <c r="L118" s="13"/>
      <c r="M118" s="17"/>
      <c r="N118" s="17"/>
      <c r="O118" s="18"/>
      <c r="P118" s="18"/>
      <c r="Q118" s="17"/>
      <c r="R118" s="17"/>
      <c r="S118" s="17"/>
      <c r="T118" s="17"/>
      <c r="U118" s="17"/>
      <c r="V118" s="17"/>
      <c r="W118" s="17"/>
      <c r="X118" s="17"/>
      <c r="Y118" s="466">
        <v>100</v>
      </c>
      <c r="Z118" s="466">
        <v>100</v>
      </c>
      <c r="AA118" s="20">
        <v>71000000</v>
      </c>
      <c r="AB118" s="19">
        <f t="shared" si="8"/>
        <v>100</v>
      </c>
      <c r="AC118" s="20">
        <f t="shared" si="11"/>
        <v>71000000</v>
      </c>
      <c r="AD118" s="19">
        <f t="shared" si="7"/>
        <v>100</v>
      </c>
    </row>
    <row r="119" spans="2:30" ht="25.5">
      <c r="B119" s="13">
        <f t="shared" si="10"/>
        <v>105</v>
      </c>
      <c r="C119" s="24" t="s">
        <v>170</v>
      </c>
      <c r="D119" s="21" t="s">
        <v>171</v>
      </c>
      <c r="E119" s="482"/>
      <c r="F119" s="523">
        <v>1</v>
      </c>
      <c r="G119" s="471" t="s">
        <v>1845</v>
      </c>
      <c r="H119" s="650">
        <v>0</v>
      </c>
      <c r="I119" s="471" t="s">
        <v>1845</v>
      </c>
      <c r="J119" s="15">
        <v>31000000</v>
      </c>
      <c r="K119" s="99">
        <v>31000000</v>
      </c>
      <c r="L119" s="13"/>
      <c r="M119" s="17"/>
      <c r="N119" s="17"/>
      <c r="O119" s="18"/>
      <c r="P119" s="18"/>
      <c r="Q119" s="17"/>
      <c r="R119" s="17"/>
      <c r="S119" s="17"/>
      <c r="T119" s="17"/>
      <c r="U119" s="17"/>
      <c r="V119" s="17"/>
      <c r="W119" s="17"/>
      <c r="X119" s="17"/>
      <c r="Y119" s="466">
        <v>100</v>
      </c>
      <c r="Z119" s="466">
        <v>100</v>
      </c>
      <c r="AA119" s="20">
        <v>25933995</v>
      </c>
      <c r="AB119" s="19">
        <f t="shared" si="8"/>
        <v>83.65804838709677</v>
      </c>
      <c r="AC119" s="20">
        <f t="shared" si="11"/>
        <v>25933995</v>
      </c>
      <c r="AD119" s="19">
        <f t="shared" si="7"/>
        <v>83.65804838709677</v>
      </c>
    </row>
    <row r="120" spans="2:30" ht="25.5">
      <c r="B120" s="13">
        <f t="shared" si="10"/>
        <v>106</v>
      </c>
      <c r="C120" s="24" t="s">
        <v>172</v>
      </c>
      <c r="D120" s="21" t="s">
        <v>173</v>
      </c>
      <c r="E120" s="482"/>
      <c r="F120" s="523">
        <v>1</v>
      </c>
      <c r="G120" s="471" t="s">
        <v>1845</v>
      </c>
      <c r="H120" s="650">
        <v>0</v>
      </c>
      <c r="I120" s="471" t="s">
        <v>1845</v>
      </c>
      <c r="J120" s="15">
        <v>85000000</v>
      </c>
      <c r="K120" s="99">
        <v>85000000</v>
      </c>
      <c r="L120" s="13"/>
      <c r="M120" s="17"/>
      <c r="N120" s="17"/>
      <c r="O120" s="18"/>
      <c r="P120" s="18"/>
      <c r="Q120" s="17"/>
      <c r="R120" s="17"/>
      <c r="S120" s="17"/>
      <c r="T120" s="17"/>
      <c r="U120" s="17"/>
      <c r="V120" s="17"/>
      <c r="W120" s="17"/>
      <c r="X120" s="17"/>
      <c r="Y120" s="466">
        <v>100</v>
      </c>
      <c r="Z120" s="466">
        <v>100</v>
      </c>
      <c r="AA120" s="20">
        <v>79513952</v>
      </c>
      <c r="AB120" s="19">
        <f t="shared" si="8"/>
        <v>93.545825882352943</v>
      </c>
      <c r="AC120" s="20">
        <f t="shared" si="11"/>
        <v>79513952</v>
      </c>
      <c r="AD120" s="19">
        <f t="shared" si="7"/>
        <v>93.545825882352943</v>
      </c>
    </row>
    <row r="121" spans="2:30">
      <c r="B121" s="13">
        <f t="shared" si="10"/>
        <v>107</v>
      </c>
      <c r="C121" s="24" t="s">
        <v>174</v>
      </c>
      <c r="D121" s="21" t="s">
        <v>175</v>
      </c>
      <c r="E121" s="482"/>
      <c r="F121" s="523">
        <v>1</v>
      </c>
      <c r="G121" s="471" t="s">
        <v>1845</v>
      </c>
      <c r="H121" s="650">
        <v>0</v>
      </c>
      <c r="I121" s="471" t="s">
        <v>1845</v>
      </c>
      <c r="J121" s="15">
        <v>15000000</v>
      </c>
      <c r="K121" s="99">
        <v>15000000</v>
      </c>
      <c r="L121" s="13"/>
      <c r="M121" s="17"/>
      <c r="N121" s="17"/>
      <c r="O121" s="18"/>
      <c r="P121" s="18"/>
      <c r="Q121" s="17"/>
      <c r="R121" s="17"/>
      <c r="S121" s="17"/>
      <c r="T121" s="17"/>
      <c r="U121" s="17"/>
      <c r="V121" s="17"/>
      <c r="W121" s="17"/>
      <c r="X121" s="17"/>
      <c r="Y121" s="466">
        <v>100</v>
      </c>
      <c r="Z121" s="466">
        <v>100</v>
      </c>
      <c r="AA121" s="467">
        <v>8057000</v>
      </c>
      <c r="AB121" s="19">
        <f t="shared" si="8"/>
        <v>53.713333333333338</v>
      </c>
      <c r="AC121" s="20">
        <f t="shared" si="11"/>
        <v>8057000</v>
      </c>
      <c r="AD121" s="19">
        <f t="shared" si="7"/>
        <v>53.713333333333338</v>
      </c>
    </row>
    <row r="122" spans="2:30" ht="25.5">
      <c r="B122" s="13">
        <f t="shared" si="10"/>
        <v>108</v>
      </c>
      <c r="C122" s="24" t="s">
        <v>176</v>
      </c>
      <c r="D122" s="21" t="s">
        <v>177</v>
      </c>
      <c r="E122" s="571"/>
      <c r="F122" s="523">
        <v>1</v>
      </c>
      <c r="G122" s="471" t="s">
        <v>1845</v>
      </c>
      <c r="H122" s="650">
        <v>0</v>
      </c>
      <c r="I122" s="471" t="s">
        <v>1845</v>
      </c>
      <c r="J122" s="15">
        <v>125000000</v>
      </c>
      <c r="K122" s="16">
        <v>0</v>
      </c>
      <c r="L122" s="13"/>
      <c r="M122" s="17"/>
      <c r="N122" s="17"/>
      <c r="O122" s="18"/>
      <c r="P122" s="18"/>
      <c r="Q122" s="17"/>
      <c r="R122" s="17"/>
      <c r="S122" s="17"/>
      <c r="T122" s="17"/>
      <c r="U122" s="17"/>
      <c r="V122" s="17"/>
      <c r="W122" s="17"/>
      <c r="X122" s="17"/>
      <c r="Y122" s="466">
        <v>80</v>
      </c>
      <c r="Z122" s="466">
        <v>25</v>
      </c>
      <c r="AA122" s="20">
        <v>0</v>
      </c>
      <c r="AB122" s="19"/>
      <c r="AC122" s="20"/>
      <c r="AD122" s="19"/>
    </row>
    <row r="123" spans="2:30" ht="38.25">
      <c r="B123" s="13">
        <f t="shared" si="10"/>
        <v>109</v>
      </c>
      <c r="C123" s="24" t="s">
        <v>178</v>
      </c>
      <c r="D123" s="21" t="s">
        <v>179</v>
      </c>
      <c r="E123" s="482"/>
      <c r="F123" s="523">
        <v>1</v>
      </c>
      <c r="G123" s="471" t="s">
        <v>1845</v>
      </c>
      <c r="H123" s="650">
        <v>0</v>
      </c>
      <c r="I123" s="471" t="s">
        <v>1845</v>
      </c>
      <c r="J123" s="15">
        <v>204011000</v>
      </c>
      <c r="K123" s="99">
        <v>204011000</v>
      </c>
      <c r="L123" s="13"/>
      <c r="M123" s="17"/>
      <c r="N123" s="17"/>
      <c r="O123" s="18"/>
      <c r="P123" s="18"/>
      <c r="Q123" s="17"/>
      <c r="R123" s="17"/>
      <c r="S123" s="17"/>
      <c r="T123" s="17"/>
      <c r="U123" s="17"/>
      <c r="V123" s="17"/>
      <c r="W123" s="17"/>
      <c r="X123" s="17"/>
      <c r="Y123" s="466">
        <v>100</v>
      </c>
      <c r="Z123" s="466">
        <v>100</v>
      </c>
      <c r="AA123" s="20">
        <v>112500000</v>
      </c>
      <c r="AB123" s="19">
        <f t="shared" si="8"/>
        <v>55.144085367945848</v>
      </c>
      <c r="AC123" s="20">
        <f t="shared" si="11"/>
        <v>112500000</v>
      </c>
      <c r="AD123" s="19">
        <f t="shared" si="7"/>
        <v>55.144085367945848</v>
      </c>
    </row>
    <row r="124" spans="2:30">
      <c r="B124" s="13">
        <f t="shared" si="10"/>
        <v>110</v>
      </c>
      <c r="C124" s="24" t="s">
        <v>180</v>
      </c>
      <c r="D124" s="21" t="s">
        <v>181</v>
      </c>
      <c r="E124" s="482"/>
      <c r="F124" s="523">
        <v>1</v>
      </c>
      <c r="G124" s="471" t="s">
        <v>1845</v>
      </c>
      <c r="H124" s="650">
        <v>0</v>
      </c>
      <c r="I124" s="471" t="s">
        <v>1845</v>
      </c>
      <c r="J124" s="15">
        <v>580800000</v>
      </c>
      <c r="K124" s="99">
        <v>1015650000</v>
      </c>
      <c r="L124" s="13"/>
      <c r="M124" s="17"/>
      <c r="N124" s="17"/>
      <c r="O124" s="18"/>
      <c r="P124" s="18"/>
      <c r="Q124" s="17"/>
      <c r="R124" s="17"/>
      <c r="S124" s="17"/>
      <c r="T124" s="17"/>
      <c r="U124" s="17"/>
      <c r="V124" s="17"/>
      <c r="W124" s="17"/>
      <c r="X124" s="17"/>
      <c r="Y124" s="466">
        <v>100</v>
      </c>
      <c r="Z124" s="466">
        <v>100</v>
      </c>
      <c r="AA124" s="20">
        <v>917700000</v>
      </c>
      <c r="AB124" s="19">
        <f t="shared" si="8"/>
        <v>90.355929700191993</v>
      </c>
      <c r="AC124" s="20">
        <f t="shared" si="11"/>
        <v>917700000</v>
      </c>
      <c r="AD124" s="19">
        <f t="shared" si="7"/>
        <v>90.355929700191993</v>
      </c>
    </row>
    <row r="125" spans="2:30" ht="25.5">
      <c r="B125" s="13">
        <f t="shared" si="10"/>
        <v>111</v>
      </c>
      <c r="C125" s="24" t="s">
        <v>182</v>
      </c>
      <c r="D125" s="21" t="s">
        <v>183</v>
      </c>
      <c r="E125" s="482"/>
      <c r="F125" s="523">
        <v>1</v>
      </c>
      <c r="G125" s="471" t="s">
        <v>1845</v>
      </c>
      <c r="H125" s="650">
        <v>0</v>
      </c>
      <c r="I125" s="471" t="s">
        <v>1845</v>
      </c>
      <c r="J125" s="15">
        <v>36000000</v>
      </c>
      <c r="K125" s="99">
        <v>36000000</v>
      </c>
      <c r="L125" s="13"/>
      <c r="M125" s="17"/>
      <c r="N125" s="17"/>
      <c r="O125" s="18"/>
      <c r="P125" s="18"/>
      <c r="Q125" s="17"/>
      <c r="R125" s="17"/>
      <c r="S125" s="17"/>
      <c r="T125" s="17"/>
      <c r="U125" s="17"/>
      <c r="V125" s="17"/>
      <c r="W125" s="17"/>
      <c r="X125" s="17"/>
      <c r="Y125" s="466">
        <v>100</v>
      </c>
      <c r="Z125" s="466">
        <v>100</v>
      </c>
      <c r="AA125" s="20">
        <v>4300000</v>
      </c>
      <c r="AB125" s="19">
        <f t="shared" si="8"/>
        <v>11.944444444444445</v>
      </c>
      <c r="AC125" s="20">
        <f t="shared" si="11"/>
        <v>4300000</v>
      </c>
      <c r="AD125" s="19">
        <f t="shared" si="7"/>
        <v>11.944444444444445</v>
      </c>
    </row>
    <row r="126" spans="2:30" ht="25.5">
      <c r="B126" s="13">
        <f>B125+1</f>
        <v>112</v>
      </c>
      <c r="C126" s="24" t="s">
        <v>184</v>
      </c>
      <c r="D126" s="21" t="s">
        <v>185</v>
      </c>
      <c r="E126" s="482"/>
      <c r="F126" s="523">
        <v>1</v>
      </c>
      <c r="G126" s="471" t="s">
        <v>1845</v>
      </c>
      <c r="H126" s="650">
        <v>0</v>
      </c>
      <c r="I126" s="471" t="s">
        <v>1845</v>
      </c>
      <c r="J126" s="15">
        <v>155000000</v>
      </c>
      <c r="K126" s="99">
        <v>155000000</v>
      </c>
      <c r="L126" s="13"/>
      <c r="M126" s="17"/>
      <c r="N126" s="17"/>
      <c r="O126" s="18"/>
      <c r="P126" s="18"/>
      <c r="Q126" s="17"/>
      <c r="R126" s="17"/>
      <c r="S126" s="17"/>
      <c r="T126" s="17"/>
      <c r="U126" s="17"/>
      <c r="V126" s="17"/>
      <c r="W126" s="17"/>
      <c r="X126" s="17"/>
      <c r="Y126" s="466">
        <v>100</v>
      </c>
      <c r="Z126" s="466">
        <v>100</v>
      </c>
      <c r="AA126" s="20">
        <v>154999500</v>
      </c>
      <c r="AB126" s="19">
        <f t="shared" si="8"/>
        <v>99.999677419354839</v>
      </c>
      <c r="AC126" s="20">
        <f t="shared" si="11"/>
        <v>154999500</v>
      </c>
      <c r="AD126" s="19">
        <f t="shared" si="7"/>
        <v>99.999677419354839</v>
      </c>
    </row>
    <row r="127" spans="2:30" ht="38.25">
      <c r="B127" s="13">
        <f t="shared" si="10"/>
        <v>113</v>
      </c>
      <c r="C127" s="24" t="s">
        <v>186</v>
      </c>
      <c r="D127" s="21" t="s">
        <v>187</v>
      </c>
      <c r="E127" s="482"/>
      <c r="F127" s="523">
        <v>1</v>
      </c>
      <c r="G127" s="471" t="s">
        <v>1845</v>
      </c>
      <c r="H127" s="650">
        <v>0</v>
      </c>
      <c r="I127" s="471" t="s">
        <v>1845</v>
      </c>
      <c r="J127" s="15">
        <v>26000000</v>
      </c>
      <c r="K127" s="99">
        <v>26000000</v>
      </c>
      <c r="L127" s="13"/>
      <c r="M127" s="17"/>
      <c r="N127" s="17"/>
      <c r="O127" s="18"/>
      <c r="P127" s="18"/>
      <c r="Q127" s="17"/>
      <c r="R127" s="17"/>
      <c r="S127" s="17"/>
      <c r="T127" s="17"/>
      <c r="U127" s="17"/>
      <c r="V127" s="17"/>
      <c r="W127" s="17"/>
      <c r="X127" s="17"/>
      <c r="Y127" s="466">
        <v>100</v>
      </c>
      <c r="Z127" s="466">
        <v>100</v>
      </c>
      <c r="AA127" s="20">
        <v>25798000</v>
      </c>
      <c r="AB127" s="19">
        <f t="shared" si="8"/>
        <v>99.223076923076931</v>
      </c>
      <c r="AC127" s="20">
        <f t="shared" si="11"/>
        <v>25798000</v>
      </c>
      <c r="AD127" s="19">
        <f t="shared" si="7"/>
        <v>99.223076923076931</v>
      </c>
    </row>
    <row r="128" spans="2:30" ht="16.5" customHeight="1">
      <c r="B128" s="13">
        <f t="shared" si="10"/>
        <v>114</v>
      </c>
      <c r="C128" s="24" t="s">
        <v>188</v>
      </c>
      <c r="D128" s="21" t="s">
        <v>189</v>
      </c>
      <c r="E128" s="482"/>
      <c r="F128" s="523">
        <v>1</v>
      </c>
      <c r="G128" s="471" t="s">
        <v>1845</v>
      </c>
      <c r="H128" s="650">
        <v>0</v>
      </c>
      <c r="I128" s="471" t="s">
        <v>1845</v>
      </c>
      <c r="J128" s="15">
        <v>24020000</v>
      </c>
      <c r="K128" s="99">
        <v>24020000</v>
      </c>
      <c r="L128" s="13"/>
      <c r="M128" s="17"/>
      <c r="N128" s="17"/>
      <c r="O128" s="18"/>
      <c r="P128" s="18"/>
      <c r="Q128" s="17"/>
      <c r="R128" s="17"/>
      <c r="S128" s="17"/>
      <c r="T128" s="17"/>
      <c r="U128" s="17"/>
      <c r="V128" s="17"/>
      <c r="W128" s="17"/>
      <c r="X128" s="17"/>
      <c r="Y128" s="466">
        <v>100</v>
      </c>
      <c r="Z128" s="466">
        <v>100</v>
      </c>
      <c r="AA128" s="20">
        <v>24020000</v>
      </c>
      <c r="AB128" s="19">
        <f t="shared" si="8"/>
        <v>100</v>
      </c>
      <c r="AC128" s="20">
        <f t="shared" si="11"/>
        <v>24020000</v>
      </c>
      <c r="AD128" s="19">
        <f t="shared" si="7"/>
        <v>100</v>
      </c>
    </row>
    <row r="129" spans="2:30" ht="25.5">
      <c r="B129" s="13">
        <f t="shared" si="10"/>
        <v>115</v>
      </c>
      <c r="C129" s="24" t="s">
        <v>190</v>
      </c>
      <c r="D129" s="21" t="s">
        <v>191</v>
      </c>
      <c r="E129" s="482"/>
      <c r="F129" s="523">
        <v>1</v>
      </c>
      <c r="G129" s="471" t="s">
        <v>1845</v>
      </c>
      <c r="H129" s="650">
        <v>0</v>
      </c>
      <c r="I129" s="471" t="s">
        <v>1845</v>
      </c>
      <c r="J129" s="15">
        <v>140000000</v>
      </c>
      <c r="K129" s="99">
        <v>140000000</v>
      </c>
      <c r="L129" s="13"/>
      <c r="M129" s="17"/>
      <c r="N129" s="17"/>
      <c r="O129" s="18"/>
      <c r="P129" s="18"/>
      <c r="Q129" s="17"/>
      <c r="R129" s="17"/>
      <c r="S129" s="17"/>
      <c r="T129" s="17"/>
      <c r="U129" s="17"/>
      <c r="V129" s="17"/>
      <c r="W129" s="17"/>
      <c r="X129" s="17"/>
      <c r="Y129" s="466">
        <v>100</v>
      </c>
      <c r="Z129" s="466">
        <v>100</v>
      </c>
      <c r="AA129" s="20">
        <v>135920000</v>
      </c>
      <c r="AB129" s="19">
        <f t="shared" si="8"/>
        <v>97.085714285714289</v>
      </c>
      <c r="AC129" s="20">
        <f t="shared" si="11"/>
        <v>135920000</v>
      </c>
      <c r="AD129" s="19">
        <f t="shared" si="7"/>
        <v>97.085714285714289</v>
      </c>
    </row>
    <row r="130" spans="2:30" ht="18" customHeight="1">
      <c r="B130" s="13">
        <f t="shared" si="10"/>
        <v>116</v>
      </c>
      <c r="C130" s="24" t="s">
        <v>192</v>
      </c>
      <c r="D130" s="21" t="s">
        <v>193</v>
      </c>
      <c r="E130" s="482"/>
      <c r="F130" s="523">
        <v>1</v>
      </c>
      <c r="G130" s="471" t="s">
        <v>1845</v>
      </c>
      <c r="H130" s="650">
        <v>0</v>
      </c>
      <c r="I130" s="471" t="s">
        <v>1845</v>
      </c>
      <c r="J130" s="15">
        <v>20140000</v>
      </c>
      <c r="K130" s="99">
        <v>20140000</v>
      </c>
      <c r="L130" s="13"/>
      <c r="M130" s="17"/>
      <c r="N130" s="17"/>
      <c r="O130" s="18"/>
      <c r="P130" s="18"/>
      <c r="Q130" s="17"/>
      <c r="R130" s="17"/>
      <c r="S130" s="17"/>
      <c r="T130" s="17"/>
      <c r="U130" s="17"/>
      <c r="V130" s="17"/>
      <c r="W130" s="17"/>
      <c r="X130" s="17"/>
      <c r="Y130" s="466">
        <v>100</v>
      </c>
      <c r="Z130" s="466">
        <v>100</v>
      </c>
      <c r="AA130" s="20">
        <v>9081000</v>
      </c>
      <c r="AB130" s="19">
        <f t="shared" si="8"/>
        <v>45.089374379344591</v>
      </c>
      <c r="AC130" s="20">
        <f t="shared" si="11"/>
        <v>9081000</v>
      </c>
      <c r="AD130" s="19">
        <f t="shared" si="7"/>
        <v>45.089374379344591</v>
      </c>
    </row>
    <row r="131" spans="2:30" ht="25.5">
      <c r="B131" s="13">
        <f t="shared" si="10"/>
        <v>117</v>
      </c>
      <c r="C131" s="24" t="s">
        <v>194</v>
      </c>
      <c r="D131" s="21" t="s">
        <v>195</v>
      </c>
      <c r="E131" s="482"/>
      <c r="F131" s="523">
        <v>1</v>
      </c>
      <c r="G131" s="471" t="s">
        <v>1845</v>
      </c>
      <c r="H131" s="650">
        <v>0</v>
      </c>
      <c r="I131" s="471" t="s">
        <v>1845</v>
      </c>
      <c r="J131" s="15">
        <v>30000000</v>
      </c>
      <c r="K131" s="99">
        <v>30000000</v>
      </c>
      <c r="L131" s="13"/>
      <c r="M131" s="17"/>
      <c r="N131" s="17"/>
      <c r="O131" s="18"/>
      <c r="P131" s="18"/>
      <c r="Q131" s="17"/>
      <c r="R131" s="17"/>
      <c r="S131" s="17"/>
      <c r="T131" s="17"/>
      <c r="U131" s="17"/>
      <c r="V131" s="17"/>
      <c r="W131" s="17"/>
      <c r="X131" s="17"/>
      <c r="Y131" s="466">
        <v>0</v>
      </c>
      <c r="Z131" s="466">
        <v>0</v>
      </c>
      <c r="AA131" s="20">
        <v>0</v>
      </c>
      <c r="AB131" s="19">
        <f t="shared" si="8"/>
        <v>0</v>
      </c>
      <c r="AC131" s="20">
        <f t="shared" si="11"/>
        <v>0</v>
      </c>
      <c r="AD131" s="19">
        <f t="shared" si="7"/>
        <v>0</v>
      </c>
    </row>
    <row r="132" spans="2:30" ht="18" customHeight="1">
      <c r="B132" s="13">
        <f t="shared" si="10"/>
        <v>118</v>
      </c>
      <c r="C132" s="24" t="s">
        <v>196</v>
      </c>
      <c r="D132" s="21" t="s">
        <v>197</v>
      </c>
      <c r="E132" s="482"/>
      <c r="F132" s="523">
        <v>1</v>
      </c>
      <c r="G132" s="471" t="s">
        <v>1845</v>
      </c>
      <c r="H132" s="650">
        <v>0</v>
      </c>
      <c r="I132" s="471" t="s">
        <v>1845</v>
      </c>
      <c r="J132" s="15">
        <v>50000000</v>
      </c>
      <c r="K132" s="99">
        <v>50000000</v>
      </c>
      <c r="L132" s="13"/>
      <c r="M132" s="17"/>
      <c r="N132" s="17"/>
      <c r="O132" s="18"/>
      <c r="P132" s="18"/>
      <c r="Q132" s="17"/>
      <c r="R132" s="17"/>
      <c r="S132" s="17"/>
      <c r="T132" s="17"/>
      <c r="U132" s="17"/>
      <c r="V132" s="17"/>
      <c r="W132" s="17"/>
      <c r="X132" s="17"/>
      <c r="Y132" s="466">
        <v>100</v>
      </c>
      <c r="Z132" s="466">
        <v>100</v>
      </c>
      <c r="AA132" s="20">
        <v>42137950</v>
      </c>
      <c r="AB132" s="19">
        <f t="shared" si="8"/>
        <v>84.275900000000007</v>
      </c>
      <c r="AC132" s="20">
        <f t="shared" si="11"/>
        <v>42137950</v>
      </c>
      <c r="AD132" s="19">
        <f t="shared" si="7"/>
        <v>84.275900000000007</v>
      </c>
    </row>
    <row r="133" spans="2:30" ht="38.25">
      <c r="B133" s="13">
        <f t="shared" si="10"/>
        <v>119</v>
      </c>
      <c r="C133" s="24" t="s">
        <v>198</v>
      </c>
      <c r="D133" s="21" t="s">
        <v>199</v>
      </c>
      <c r="E133" s="482"/>
      <c r="F133" s="523">
        <v>1</v>
      </c>
      <c r="G133" s="471" t="s">
        <v>1845</v>
      </c>
      <c r="H133" s="650">
        <v>0</v>
      </c>
      <c r="I133" s="471" t="s">
        <v>1845</v>
      </c>
      <c r="J133" s="15">
        <v>100000000</v>
      </c>
      <c r="K133" s="99">
        <v>100000000</v>
      </c>
      <c r="L133" s="13"/>
      <c r="M133" s="17"/>
      <c r="N133" s="17"/>
      <c r="O133" s="18"/>
      <c r="P133" s="18"/>
      <c r="Q133" s="17"/>
      <c r="R133" s="17"/>
      <c r="S133" s="17"/>
      <c r="T133" s="17"/>
      <c r="U133" s="17"/>
      <c r="V133" s="17"/>
      <c r="W133" s="17"/>
      <c r="X133" s="17"/>
      <c r="Y133" s="466">
        <v>100</v>
      </c>
      <c r="Z133" s="466">
        <v>100</v>
      </c>
      <c r="AA133" s="20">
        <v>97061000</v>
      </c>
      <c r="AB133" s="19">
        <f t="shared" si="8"/>
        <v>97.060999999999993</v>
      </c>
      <c r="AC133" s="20">
        <f t="shared" si="11"/>
        <v>97061000</v>
      </c>
      <c r="AD133" s="19">
        <f t="shared" si="7"/>
        <v>97.060999999999993</v>
      </c>
    </row>
    <row r="134" spans="2:30" ht="16.5" customHeight="1">
      <c r="B134" s="13">
        <f t="shared" si="10"/>
        <v>120</v>
      </c>
      <c r="C134" s="24" t="s">
        <v>200</v>
      </c>
      <c r="D134" s="671" t="s">
        <v>201</v>
      </c>
      <c r="E134" s="729"/>
      <c r="F134" s="730">
        <v>1</v>
      </c>
      <c r="G134" s="731" t="s">
        <v>1845</v>
      </c>
      <c r="H134" s="732">
        <v>0</v>
      </c>
      <c r="I134" s="731" t="s">
        <v>1845</v>
      </c>
      <c r="J134" s="79">
        <v>50000000</v>
      </c>
      <c r="K134" s="99">
        <v>50000000</v>
      </c>
      <c r="L134" s="13"/>
      <c r="M134" s="17"/>
      <c r="N134" s="17"/>
      <c r="O134" s="18"/>
      <c r="P134" s="18"/>
      <c r="Q134" s="17"/>
      <c r="R134" s="17"/>
      <c r="S134" s="17"/>
      <c r="T134" s="17"/>
      <c r="U134" s="17"/>
      <c r="V134" s="17"/>
      <c r="W134" s="17"/>
      <c r="X134" s="17"/>
      <c r="Y134" s="466">
        <v>100</v>
      </c>
      <c r="Z134" s="466">
        <v>100</v>
      </c>
      <c r="AA134" s="20">
        <v>21476150</v>
      </c>
      <c r="AB134" s="19">
        <f t="shared" si="8"/>
        <v>42.952300000000001</v>
      </c>
      <c r="AC134" s="20">
        <f t="shared" si="11"/>
        <v>21476150</v>
      </c>
      <c r="AD134" s="19">
        <f t="shared" si="7"/>
        <v>42.952300000000001</v>
      </c>
    </row>
    <row r="135" spans="2:30" ht="16.5" customHeight="1">
      <c r="B135" s="13">
        <f t="shared" si="10"/>
        <v>121</v>
      </c>
      <c r="C135" s="24" t="s">
        <v>2303</v>
      </c>
      <c r="D135" s="58" t="s">
        <v>2305</v>
      </c>
      <c r="E135" s="482"/>
      <c r="F135" s="730">
        <v>1</v>
      </c>
      <c r="G135" s="471"/>
      <c r="H135" s="650"/>
      <c r="I135" s="471"/>
      <c r="J135" s="15"/>
      <c r="K135" s="99">
        <v>17000000</v>
      </c>
      <c r="L135" s="47"/>
      <c r="M135" s="51"/>
      <c r="N135" s="51"/>
      <c r="O135" s="676"/>
      <c r="P135" s="676"/>
      <c r="Q135" s="51"/>
      <c r="R135" s="51"/>
      <c r="S135" s="51"/>
      <c r="T135" s="51"/>
      <c r="U135" s="51"/>
      <c r="V135" s="51"/>
      <c r="W135" s="51"/>
      <c r="X135" s="51"/>
      <c r="Y135" s="728">
        <v>100</v>
      </c>
      <c r="Z135" s="728">
        <v>100</v>
      </c>
      <c r="AA135" s="239">
        <v>2911800</v>
      </c>
      <c r="AB135" s="19">
        <f t="shared" si="8"/>
        <v>17.128235294117648</v>
      </c>
      <c r="AC135" s="239">
        <f t="shared" si="11"/>
        <v>2911800</v>
      </c>
      <c r="AD135" s="19">
        <f t="shared" si="7"/>
        <v>17.128235294117648</v>
      </c>
    </row>
    <row r="136" spans="2:30" ht="25.5" customHeight="1">
      <c r="B136" s="13">
        <f t="shared" si="10"/>
        <v>122</v>
      </c>
      <c r="C136" s="24" t="s">
        <v>2304</v>
      </c>
      <c r="D136" s="75" t="s">
        <v>2306</v>
      </c>
      <c r="E136" s="725"/>
      <c r="F136" s="730">
        <v>1</v>
      </c>
      <c r="G136" s="726"/>
      <c r="H136" s="727"/>
      <c r="I136" s="726"/>
      <c r="J136" s="304"/>
      <c r="K136" s="99">
        <v>146873000</v>
      </c>
      <c r="L136" s="47"/>
      <c r="M136" s="51"/>
      <c r="N136" s="51"/>
      <c r="O136" s="676"/>
      <c r="P136" s="676"/>
      <c r="Q136" s="51"/>
      <c r="R136" s="51"/>
      <c r="S136" s="51"/>
      <c r="T136" s="51"/>
      <c r="U136" s="51"/>
      <c r="V136" s="51"/>
      <c r="W136" s="51"/>
      <c r="X136" s="51"/>
      <c r="Y136" s="728">
        <v>100</v>
      </c>
      <c r="Z136" s="728">
        <v>100</v>
      </c>
      <c r="AA136" s="239">
        <v>7080000</v>
      </c>
      <c r="AB136" s="19">
        <f t="shared" si="8"/>
        <v>4.8204911726457551</v>
      </c>
      <c r="AC136" s="239">
        <f t="shared" si="11"/>
        <v>7080000</v>
      </c>
      <c r="AD136" s="19">
        <f t="shared" si="7"/>
        <v>4.8204911726457551</v>
      </c>
    </row>
    <row r="137" spans="2:30">
      <c r="B137" s="27">
        <v>1</v>
      </c>
      <c r="C137" s="884" t="s">
        <v>202</v>
      </c>
      <c r="D137" s="885"/>
      <c r="E137" s="483"/>
      <c r="F137" s="493">
        <v>119</v>
      </c>
      <c r="G137" s="521"/>
      <c r="H137" s="651">
        <f>SUM(H8:H134)</f>
        <v>2</v>
      </c>
      <c r="I137" s="521" t="s">
        <v>1845</v>
      </c>
      <c r="J137" s="29">
        <f>SUM(J9:J136)</f>
        <v>54537515000</v>
      </c>
      <c r="K137" s="29">
        <f>SUM(K9:K136)</f>
        <v>82884831000</v>
      </c>
      <c r="L137" s="297"/>
      <c r="M137" s="297"/>
      <c r="N137" s="297"/>
      <c r="O137" s="297"/>
      <c r="P137" s="297"/>
      <c r="Q137" s="297"/>
      <c r="R137" s="297"/>
      <c r="S137" s="297" t="s">
        <v>1458</v>
      </c>
      <c r="T137" s="522" t="s">
        <v>1459</v>
      </c>
      <c r="U137" s="522" t="s">
        <v>1459</v>
      </c>
      <c r="V137" s="522" t="s">
        <v>1459</v>
      </c>
      <c r="W137" s="522" t="s">
        <v>1459</v>
      </c>
      <c r="X137" s="522"/>
      <c r="Y137" s="30">
        <f>SUM(Y10:Y134)/122</f>
        <v>87.131147540983605</v>
      </c>
      <c r="Z137" s="30">
        <f>SUM(Z10:Z134)/119</f>
        <v>87.773109243697476</v>
      </c>
      <c r="AA137" s="31">
        <f>SUM(AA10:AA136)</f>
        <v>64541368047</v>
      </c>
      <c r="AB137" s="30">
        <f>SUM(AB10:AB134)/119</f>
        <v>80.591569763539781</v>
      </c>
      <c r="AC137" s="31">
        <f>SUM(AC10:AC136)</f>
        <v>63524782047</v>
      </c>
      <c r="AD137" s="30">
        <f>SUM(AD10:AD134)/119</f>
        <v>77.274311833434609</v>
      </c>
    </row>
    <row r="138" spans="2:30">
      <c r="B138" s="296"/>
      <c r="C138" s="10" t="s">
        <v>1474</v>
      </c>
      <c r="D138" s="299" t="s">
        <v>1475</v>
      </c>
      <c r="E138" s="506"/>
      <c r="F138" s="481"/>
      <c r="G138" s="480"/>
      <c r="H138" s="273"/>
      <c r="I138" s="480"/>
      <c r="J138" s="300"/>
      <c r="K138" s="12"/>
      <c r="L138" s="296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301"/>
      <c r="AB138" s="10"/>
      <c r="AC138" s="10"/>
      <c r="AD138" s="10"/>
    </row>
    <row r="139" spans="2:30">
      <c r="B139" s="13">
        <v>1</v>
      </c>
      <c r="C139" s="21" t="s">
        <v>203</v>
      </c>
      <c r="D139" s="21" t="s">
        <v>28</v>
      </c>
      <c r="E139" s="204"/>
      <c r="F139" s="204"/>
      <c r="G139" s="193"/>
      <c r="H139" s="89"/>
      <c r="I139" s="193"/>
      <c r="J139" s="15">
        <v>27392000</v>
      </c>
      <c r="K139" s="99">
        <v>32397000</v>
      </c>
      <c r="L139" s="13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302">
        <f>AB139</f>
        <v>95.842652097416419</v>
      </c>
      <c r="Z139" s="302">
        <f>AD139</f>
        <v>95.842652097416419</v>
      </c>
      <c r="AA139" s="17">
        <v>31050144</v>
      </c>
      <c r="AB139" s="19">
        <f>AA139/K139*100</f>
        <v>95.842652097416419</v>
      </c>
      <c r="AC139" s="17">
        <f>AA139</f>
        <v>31050144</v>
      </c>
      <c r="AD139" s="19">
        <f>AC139/K139*100</f>
        <v>95.842652097416419</v>
      </c>
    </row>
    <row r="140" spans="2:30">
      <c r="B140" s="13">
        <f>B139+1</f>
        <v>2</v>
      </c>
      <c r="C140" s="21" t="s">
        <v>204</v>
      </c>
      <c r="D140" s="21" t="s">
        <v>32</v>
      </c>
      <c r="E140" s="204"/>
      <c r="F140" s="204"/>
      <c r="G140" s="193"/>
      <c r="H140" s="89"/>
      <c r="I140" s="193"/>
      <c r="J140" s="15">
        <v>32808000</v>
      </c>
      <c r="K140" s="99">
        <v>43358000</v>
      </c>
      <c r="L140" s="13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302">
        <f t="shared" ref="Y140:Y141" si="12">AB140</f>
        <v>100</v>
      </c>
      <c r="Z140" s="302">
        <f t="shared" ref="Z140:Z141" si="13">AD140</f>
        <v>100</v>
      </c>
      <c r="AA140" s="17">
        <v>43358000</v>
      </c>
      <c r="AB140" s="19">
        <f t="shared" ref="AB140:AB141" si="14">AA140/K140*100</f>
        <v>100</v>
      </c>
      <c r="AC140" s="17">
        <f>AA140</f>
        <v>43358000</v>
      </c>
      <c r="AD140" s="19">
        <f t="shared" ref="AD140:AD141" si="15">AC140/K140*100</f>
        <v>100</v>
      </c>
    </row>
    <row r="141" spans="2:30">
      <c r="B141" s="32">
        <f t="shared" si="10"/>
        <v>3</v>
      </c>
      <c r="C141" s="303" t="s">
        <v>205</v>
      </c>
      <c r="D141" s="303" t="s">
        <v>34</v>
      </c>
      <c r="E141" s="507"/>
      <c r="F141" s="505"/>
      <c r="G141" s="497"/>
      <c r="H141" s="574"/>
      <c r="I141" s="497"/>
      <c r="J141" s="304">
        <v>7800000</v>
      </c>
      <c r="K141" s="99">
        <v>7800000</v>
      </c>
      <c r="L141" s="32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02">
        <f t="shared" si="12"/>
        <v>100</v>
      </c>
      <c r="Z141" s="302">
        <f t="shared" si="13"/>
        <v>100</v>
      </c>
      <c r="AA141" s="33">
        <v>7800000</v>
      </c>
      <c r="AB141" s="19">
        <f t="shared" si="14"/>
        <v>100</v>
      </c>
      <c r="AC141" s="33">
        <f>AA141</f>
        <v>7800000</v>
      </c>
      <c r="AD141" s="19">
        <f t="shared" si="15"/>
        <v>100</v>
      </c>
    </row>
    <row r="142" spans="2:30">
      <c r="B142" s="27">
        <v>2</v>
      </c>
      <c r="C142" s="886" t="s">
        <v>1476</v>
      </c>
      <c r="D142" s="881"/>
      <c r="E142" s="483"/>
      <c r="F142" s="483">
        <v>3</v>
      </c>
      <c r="G142" s="468"/>
      <c r="H142" s="526"/>
      <c r="I142" s="468"/>
      <c r="J142" s="35">
        <f>SUM(J139:J141)</f>
        <v>68000000</v>
      </c>
      <c r="K142" s="36">
        <f>SUM(K139:K141)</f>
        <v>83555000</v>
      </c>
      <c r="L142" s="37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05">
        <f>SUM(Y139:Y141)/3</f>
        <v>98.614217365805473</v>
      </c>
      <c r="Z142" s="305">
        <f>SUM(Z139:Z141)/3</f>
        <v>98.614217365805473</v>
      </c>
      <c r="AA142" s="298">
        <f>SUM(AA139:AA141)</f>
        <v>82208144</v>
      </c>
      <c r="AB142" s="305">
        <f>SUM(AB139:AB141)/3</f>
        <v>98.614217365805473</v>
      </c>
      <c r="AC142" s="298">
        <f>SUM(AC139:AC141)</f>
        <v>82208144</v>
      </c>
      <c r="AD142" s="305">
        <f>SUM(AD139:AD141)/3</f>
        <v>98.614217365805473</v>
      </c>
    </row>
    <row r="143" spans="2:30">
      <c r="B143" s="296"/>
      <c r="C143" s="10" t="s">
        <v>1477</v>
      </c>
      <c r="D143" s="299" t="s">
        <v>2387</v>
      </c>
      <c r="E143" s="506"/>
      <c r="F143" s="481"/>
      <c r="G143" s="480"/>
      <c r="H143" s="273"/>
      <c r="I143" s="480"/>
      <c r="J143" s="300"/>
      <c r="K143" s="12"/>
      <c r="L143" s="296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2:30">
      <c r="B144" s="13">
        <v>1</v>
      </c>
      <c r="C144" s="17" t="s">
        <v>206</v>
      </c>
      <c r="D144" s="39" t="s">
        <v>28</v>
      </c>
      <c r="E144" s="204"/>
      <c r="F144" s="204"/>
      <c r="G144" s="193"/>
      <c r="H144" s="89"/>
      <c r="I144" s="193"/>
      <c r="J144" s="15">
        <v>21235000</v>
      </c>
      <c r="K144" s="99">
        <v>48065000</v>
      </c>
      <c r="L144" s="13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9">
        <f>AB144</f>
        <v>89.784666597316132</v>
      </c>
      <c r="Z144" s="19">
        <f>AD144</f>
        <v>89.784666597316132</v>
      </c>
      <c r="AA144" s="99">
        <v>43155000</v>
      </c>
      <c r="AB144" s="19">
        <f>AA144/K144*100</f>
        <v>89.784666597316132</v>
      </c>
      <c r="AC144" s="17">
        <f>AA144</f>
        <v>43155000</v>
      </c>
      <c r="AD144" s="19">
        <f>AC144/K144*100</f>
        <v>89.784666597316132</v>
      </c>
    </row>
    <row r="145" spans="2:31">
      <c r="B145" s="13">
        <f t="shared" si="10"/>
        <v>2</v>
      </c>
      <c r="C145" s="17" t="s">
        <v>207</v>
      </c>
      <c r="D145" s="39" t="s">
        <v>30</v>
      </c>
      <c r="E145" s="204"/>
      <c r="F145" s="204"/>
      <c r="G145" s="193"/>
      <c r="H145" s="89"/>
      <c r="I145" s="193"/>
      <c r="J145" s="15">
        <v>12180000</v>
      </c>
      <c r="K145" s="99">
        <v>12180000</v>
      </c>
      <c r="L145" s="13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9">
        <f>AB145</f>
        <v>98.399014778325125</v>
      </c>
      <c r="Z145" s="19">
        <f>AD145</f>
        <v>98.399014778325125</v>
      </c>
      <c r="AA145" s="462">
        <v>11985000</v>
      </c>
      <c r="AB145" s="19">
        <f>AA145/K145*100</f>
        <v>98.399014778325125</v>
      </c>
      <c r="AC145" s="17">
        <f>AA145</f>
        <v>11985000</v>
      </c>
      <c r="AD145" s="19">
        <f t="shared" ref="AD145:AD147" si="16">AC145/K145*100</f>
        <v>98.399014778325125</v>
      </c>
    </row>
    <row r="146" spans="2:31">
      <c r="B146" s="13">
        <f t="shared" si="10"/>
        <v>3</v>
      </c>
      <c r="C146" s="17" t="s">
        <v>208</v>
      </c>
      <c r="D146" s="39" t="s">
        <v>32</v>
      </c>
      <c r="E146" s="204"/>
      <c r="F146" s="204"/>
      <c r="G146" s="193"/>
      <c r="H146" s="89"/>
      <c r="I146" s="193"/>
      <c r="J146" s="15">
        <v>8085000</v>
      </c>
      <c r="K146" s="99">
        <v>8085000</v>
      </c>
      <c r="L146" s="13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9">
        <f>AB146</f>
        <v>93.612863327149043</v>
      </c>
      <c r="Z146" s="19">
        <f>AD146</f>
        <v>93.612863327149043</v>
      </c>
      <c r="AA146" s="462">
        <v>7568600</v>
      </c>
      <c r="AB146" s="19">
        <f t="shared" ref="AB146:AB147" si="17">AA146/K146*100</f>
        <v>93.612863327149043</v>
      </c>
      <c r="AC146" s="17">
        <f>AA146</f>
        <v>7568600</v>
      </c>
      <c r="AD146" s="19">
        <f t="shared" si="16"/>
        <v>93.612863327149043</v>
      </c>
    </row>
    <row r="147" spans="2:31">
      <c r="B147" s="32">
        <f t="shared" si="10"/>
        <v>4</v>
      </c>
      <c r="C147" s="33" t="s">
        <v>209</v>
      </c>
      <c r="D147" s="306" t="s">
        <v>34</v>
      </c>
      <c r="E147" s="507"/>
      <c r="F147" s="505"/>
      <c r="G147" s="497"/>
      <c r="H147" s="574"/>
      <c r="I147" s="497"/>
      <c r="J147" s="304">
        <v>8500000</v>
      </c>
      <c r="K147" s="99">
        <v>8500000</v>
      </c>
      <c r="L147" s="32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07">
        <f>AB147</f>
        <v>99.411764705882348</v>
      </c>
      <c r="Z147" s="307">
        <f>AD147</f>
        <v>99.411764705882348</v>
      </c>
      <c r="AA147" s="325">
        <f>4950000+2000000+1500000</f>
        <v>8450000</v>
      </c>
      <c r="AB147" s="19">
        <f t="shared" si="17"/>
        <v>99.411764705882348</v>
      </c>
      <c r="AC147" s="33">
        <f>AA147</f>
        <v>8450000</v>
      </c>
      <c r="AD147" s="19">
        <f t="shared" si="16"/>
        <v>99.411764705882348</v>
      </c>
      <c r="AE147" s="2" t="s">
        <v>1</v>
      </c>
    </row>
    <row r="148" spans="2:31">
      <c r="B148" s="37">
        <v>3</v>
      </c>
      <c r="C148" s="880" t="s">
        <v>1478</v>
      </c>
      <c r="D148" s="881"/>
      <c r="E148" s="483"/>
      <c r="F148" s="483">
        <v>4</v>
      </c>
      <c r="G148" s="468"/>
      <c r="H148" s="526"/>
      <c r="I148" s="468"/>
      <c r="J148" s="35">
        <f>SUM(J144:J147)</f>
        <v>50000000</v>
      </c>
      <c r="K148" s="36">
        <f>SUM(K144:K147)</f>
        <v>76830000</v>
      </c>
      <c r="L148" s="37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42">
        <f>SUM(Y144:Y147)/4</f>
        <v>95.302077352168169</v>
      </c>
      <c r="Z148" s="42">
        <f>SUM(Z144:Z147)/4</f>
        <v>95.302077352168169</v>
      </c>
      <c r="AA148" s="42">
        <f>SUM(AA144:AA147)</f>
        <v>71158600</v>
      </c>
      <c r="AB148" s="42">
        <f>SUM(AB144:AB147)/4</f>
        <v>95.302077352168169</v>
      </c>
      <c r="AC148" s="42">
        <f>SUM(AC144:AC147)</f>
        <v>71158600</v>
      </c>
      <c r="AD148" s="42">
        <f>SUM(AD144:AD147)/4</f>
        <v>95.302077352168169</v>
      </c>
    </row>
    <row r="149" spans="2:31">
      <c r="B149" s="296"/>
      <c r="C149" s="10" t="s">
        <v>1479</v>
      </c>
      <c r="D149" s="299" t="s">
        <v>1480</v>
      </c>
      <c r="E149" s="506"/>
      <c r="F149" s="481"/>
      <c r="G149" s="480"/>
      <c r="H149" s="273"/>
      <c r="I149" s="480"/>
      <c r="J149" s="300"/>
      <c r="K149" s="12"/>
      <c r="L149" s="296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2:31">
      <c r="B150" s="43">
        <v>1</v>
      </c>
      <c r="C150" s="17" t="s">
        <v>206</v>
      </c>
      <c r="D150" s="39" t="s">
        <v>28</v>
      </c>
      <c r="E150" s="204"/>
      <c r="F150" s="204"/>
      <c r="G150" s="193"/>
      <c r="H150" s="89"/>
      <c r="I150" s="193"/>
      <c r="J150" s="15">
        <v>19250000</v>
      </c>
      <c r="K150" s="99">
        <v>43630000</v>
      </c>
      <c r="L150" s="13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9">
        <f>AB150</f>
        <v>93.688975475590183</v>
      </c>
      <c r="Z150" s="19">
        <f>AD150</f>
        <v>93.688975475590183</v>
      </c>
      <c r="AA150" s="17">
        <v>40876500</v>
      </c>
      <c r="AB150" s="19">
        <f>AA150/K150*100</f>
        <v>93.688975475590183</v>
      </c>
      <c r="AC150" s="17">
        <f>AA150</f>
        <v>40876500</v>
      </c>
      <c r="AD150" s="19">
        <f>AC150/K150*100</f>
        <v>93.688975475590183</v>
      </c>
    </row>
    <row r="151" spans="2:31">
      <c r="B151" s="13">
        <v>2</v>
      </c>
      <c r="C151" s="17" t="s">
        <v>207</v>
      </c>
      <c r="D151" s="39" t="s">
        <v>30</v>
      </c>
      <c r="E151" s="204"/>
      <c r="F151" s="204"/>
      <c r="G151" s="193"/>
      <c r="H151" s="89"/>
      <c r="I151" s="193"/>
      <c r="J151" s="15">
        <v>9000000</v>
      </c>
      <c r="K151" s="99">
        <v>6500000</v>
      </c>
      <c r="L151" s="13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9">
        <f t="shared" ref="Y151:Y153" si="18">AB151</f>
        <v>99.538461538461547</v>
      </c>
      <c r="Z151" s="19">
        <f t="shared" ref="Z151:Z153" si="19">AD151</f>
        <v>99.538461538461547</v>
      </c>
      <c r="AA151" s="17">
        <v>6470000</v>
      </c>
      <c r="AB151" s="19">
        <f t="shared" ref="AB151:AB153" si="20">AA151/K151*100</f>
        <v>99.538461538461547</v>
      </c>
      <c r="AC151" s="17">
        <f>AA151</f>
        <v>6470000</v>
      </c>
      <c r="AD151" s="19">
        <f t="shared" ref="AD151:AD153" si="21">AC151/K151*100</f>
        <v>99.538461538461547</v>
      </c>
    </row>
    <row r="152" spans="2:31">
      <c r="B152" s="13">
        <v>3</v>
      </c>
      <c r="C152" s="17" t="s">
        <v>208</v>
      </c>
      <c r="D152" s="39" t="s">
        <v>32</v>
      </c>
      <c r="E152" s="204"/>
      <c r="F152" s="204"/>
      <c r="G152" s="193"/>
      <c r="H152" s="89"/>
      <c r="I152" s="193"/>
      <c r="J152" s="15">
        <v>9000000</v>
      </c>
      <c r="K152" s="99">
        <v>9000000</v>
      </c>
      <c r="L152" s="13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9">
        <f t="shared" si="18"/>
        <v>97.855555555555554</v>
      </c>
      <c r="Z152" s="19">
        <f t="shared" si="19"/>
        <v>97.855555555555554</v>
      </c>
      <c r="AA152" s="17">
        <v>8807000</v>
      </c>
      <c r="AB152" s="19">
        <f t="shared" si="20"/>
        <v>97.855555555555554</v>
      </c>
      <c r="AC152" s="17">
        <f>AA152</f>
        <v>8807000</v>
      </c>
      <c r="AD152" s="19">
        <f t="shared" si="21"/>
        <v>97.855555555555554</v>
      </c>
    </row>
    <row r="153" spans="2:31">
      <c r="B153" s="32">
        <v>4</v>
      </c>
      <c r="C153" s="33" t="s">
        <v>209</v>
      </c>
      <c r="D153" s="306" t="s">
        <v>34</v>
      </c>
      <c r="E153" s="507"/>
      <c r="F153" s="505"/>
      <c r="G153" s="497"/>
      <c r="H153" s="574"/>
      <c r="I153" s="497"/>
      <c r="J153" s="304">
        <v>14750000</v>
      </c>
      <c r="K153" s="99">
        <v>17250000</v>
      </c>
      <c r="L153" s="32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19">
        <f t="shared" si="18"/>
        <v>99.710144927536234</v>
      </c>
      <c r="Z153" s="19">
        <f t="shared" si="19"/>
        <v>99.710144927536234</v>
      </c>
      <c r="AA153" s="33">
        <v>17200000</v>
      </c>
      <c r="AB153" s="19">
        <f t="shared" si="20"/>
        <v>99.710144927536234</v>
      </c>
      <c r="AC153" s="33">
        <f>AA153</f>
        <v>17200000</v>
      </c>
      <c r="AD153" s="19">
        <f t="shared" si="21"/>
        <v>99.710144927536234</v>
      </c>
    </row>
    <row r="154" spans="2:31">
      <c r="B154" s="27">
        <v>4</v>
      </c>
      <c r="C154" s="880" t="s">
        <v>1481</v>
      </c>
      <c r="D154" s="881"/>
      <c r="E154" s="483"/>
      <c r="F154" s="483">
        <v>4</v>
      </c>
      <c r="G154" s="468"/>
      <c r="H154" s="526"/>
      <c r="I154" s="468"/>
      <c r="J154" s="35">
        <f>SUM(J150:J153)</f>
        <v>52000000</v>
      </c>
      <c r="K154" s="36">
        <f>SUM(K150:K153)</f>
        <v>76380000</v>
      </c>
      <c r="L154" s="37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08">
        <f>SUM(Y150:Y153)/4</f>
        <v>97.69828437428589</v>
      </c>
      <c r="Z154" s="308">
        <f>SUM(Z150:Z153)/4</f>
        <v>97.69828437428589</v>
      </c>
      <c r="AA154" s="28">
        <f>SUM(AA150:AA153)</f>
        <v>73353500</v>
      </c>
      <c r="AB154" s="28">
        <f>SUM(AB150:AB153)/4</f>
        <v>97.69828437428589</v>
      </c>
      <c r="AC154" s="28">
        <f>SUM(AC150:AC153)</f>
        <v>73353500</v>
      </c>
      <c r="AD154" s="28">
        <f>SUM(AD150:AD153)/4</f>
        <v>97.69828437428589</v>
      </c>
    </row>
    <row r="155" spans="2:31">
      <c r="B155" s="309"/>
      <c r="C155" s="10" t="s">
        <v>1482</v>
      </c>
      <c r="D155" s="299" t="s">
        <v>1483</v>
      </c>
      <c r="E155" s="506"/>
      <c r="F155" s="481"/>
      <c r="G155" s="480"/>
      <c r="H155" s="273"/>
      <c r="I155" s="480"/>
      <c r="J155" s="300"/>
      <c r="K155" s="12"/>
      <c r="L155" s="296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2:31">
      <c r="B156" s="13">
        <v>1</v>
      </c>
      <c r="C156" s="17" t="s">
        <v>206</v>
      </c>
      <c r="D156" s="39" t="s">
        <v>28</v>
      </c>
      <c r="E156" s="204"/>
      <c r="F156" s="204"/>
      <c r="G156" s="193"/>
      <c r="H156" s="89"/>
      <c r="I156" s="193"/>
      <c r="J156" s="15">
        <v>21573000</v>
      </c>
      <c r="K156" s="99">
        <v>51908000</v>
      </c>
      <c r="L156" s="13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9">
        <f>AB156</f>
        <v>89.987092548354781</v>
      </c>
      <c r="Z156" s="19">
        <f>AD156</f>
        <v>89.987092548354781</v>
      </c>
      <c r="AA156" s="22">
        <v>46710500</v>
      </c>
      <c r="AB156" s="19">
        <f>AA156/K156*100</f>
        <v>89.987092548354781</v>
      </c>
      <c r="AC156" s="22">
        <f>AA156</f>
        <v>46710500</v>
      </c>
      <c r="AD156" s="19">
        <f>AC156/K156*100</f>
        <v>89.987092548354781</v>
      </c>
    </row>
    <row r="157" spans="2:31" ht="15" customHeight="1">
      <c r="B157" s="13">
        <v>2</v>
      </c>
      <c r="C157" s="17" t="s">
        <v>207</v>
      </c>
      <c r="D157" s="39" t="s">
        <v>30</v>
      </c>
      <c r="E157" s="204"/>
      <c r="F157" s="204"/>
      <c r="G157" s="193"/>
      <c r="H157" s="89"/>
      <c r="I157" s="193"/>
      <c r="J157" s="15">
        <v>10080000</v>
      </c>
      <c r="K157" s="99">
        <v>10080000</v>
      </c>
      <c r="L157" s="13"/>
      <c r="M157" s="17" t="s">
        <v>1</v>
      </c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9">
        <f t="shared" ref="Y157:Y159" si="22">AB157</f>
        <v>99.404761904761912</v>
      </c>
      <c r="Z157" s="19">
        <f t="shared" ref="Z157:Z159" si="23">AD157</f>
        <v>99.404761904761912</v>
      </c>
      <c r="AA157" s="22">
        <v>10020000</v>
      </c>
      <c r="AB157" s="19">
        <f t="shared" ref="AB157:AB159" si="24">AA157/K157*100</f>
        <v>99.404761904761912</v>
      </c>
      <c r="AC157" s="22">
        <f>AA157</f>
        <v>10020000</v>
      </c>
      <c r="AD157" s="19">
        <f t="shared" ref="AD157:AD159" si="25">AC157/K157*100</f>
        <v>99.404761904761912</v>
      </c>
    </row>
    <row r="158" spans="2:31" ht="14.25" customHeight="1">
      <c r="B158" s="13">
        <f>B157+1</f>
        <v>3</v>
      </c>
      <c r="C158" s="17" t="s">
        <v>208</v>
      </c>
      <c r="D158" s="39" t="s">
        <v>32</v>
      </c>
      <c r="E158" s="489"/>
      <c r="F158" s="489"/>
      <c r="G158" s="240"/>
      <c r="H158" s="186"/>
      <c r="I158" s="240"/>
      <c r="J158" s="15">
        <v>13847000</v>
      </c>
      <c r="K158" s="99">
        <v>13847000</v>
      </c>
      <c r="L158" s="45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19">
        <f t="shared" si="22"/>
        <v>80.981259478587418</v>
      </c>
      <c r="Z158" s="19">
        <f t="shared" si="23"/>
        <v>80.981259478587418</v>
      </c>
      <c r="AA158" s="73">
        <v>11213475</v>
      </c>
      <c r="AB158" s="19">
        <f t="shared" si="24"/>
        <v>80.981259478587418</v>
      </c>
      <c r="AC158" s="73">
        <f>AA158</f>
        <v>11213475</v>
      </c>
      <c r="AD158" s="19">
        <f t="shared" si="25"/>
        <v>80.981259478587418</v>
      </c>
    </row>
    <row r="159" spans="2:31" ht="15.75" customHeight="1">
      <c r="B159" s="47">
        <f>B158+1</f>
        <v>4</v>
      </c>
      <c r="C159" s="2" t="s">
        <v>205</v>
      </c>
      <c r="D159" s="310" t="s">
        <v>34</v>
      </c>
      <c r="E159" s="507"/>
      <c r="F159" s="505"/>
      <c r="G159" s="497"/>
      <c r="H159" s="574"/>
      <c r="I159" s="497"/>
      <c r="J159" s="304">
        <v>6500000</v>
      </c>
      <c r="K159" s="99">
        <v>6500000</v>
      </c>
      <c r="L159" s="32"/>
      <c r="M159" s="33"/>
      <c r="N159" s="33"/>
      <c r="O159" s="33"/>
      <c r="P159" s="33"/>
      <c r="Q159" s="33"/>
      <c r="R159" s="44"/>
      <c r="S159" s="44"/>
      <c r="T159" s="44"/>
      <c r="U159" s="44"/>
      <c r="V159" s="44"/>
      <c r="W159" s="44"/>
      <c r="X159" s="44"/>
      <c r="Y159" s="19">
        <f t="shared" si="22"/>
        <v>100</v>
      </c>
      <c r="Z159" s="19">
        <f t="shared" si="23"/>
        <v>100</v>
      </c>
      <c r="AA159" s="73">
        <v>6500000</v>
      </c>
      <c r="AB159" s="19">
        <f t="shared" si="24"/>
        <v>100</v>
      </c>
      <c r="AC159" s="73">
        <f>AA159</f>
        <v>6500000</v>
      </c>
      <c r="AD159" s="19">
        <f t="shared" si="25"/>
        <v>100</v>
      </c>
    </row>
    <row r="160" spans="2:31">
      <c r="B160" s="37">
        <v>5</v>
      </c>
      <c r="C160" s="880" t="s">
        <v>1484</v>
      </c>
      <c r="D160" s="881"/>
      <c r="E160" s="483"/>
      <c r="F160" s="483">
        <v>4</v>
      </c>
      <c r="G160" s="468"/>
      <c r="H160" s="526"/>
      <c r="I160" s="468"/>
      <c r="J160" s="35">
        <f>SUM(J156:J159)</f>
        <v>52000000</v>
      </c>
      <c r="K160" s="36">
        <f>SUM(K156:K159)</f>
        <v>82335000</v>
      </c>
      <c r="L160" s="37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20">
        <f>SUM(Y156:Y159)/4</f>
        <v>92.593278482926024</v>
      </c>
      <c r="Z160" s="320">
        <f>SUM(Z156:Z159)/4</f>
        <v>92.593278482926024</v>
      </c>
      <c r="AA160" s="315">
        <f>SUM(AA156:AA159)</f>
        <v>74443975</v>
      </c>
      <c r="AB160" s="311">
        <f>SUM(AB156:AB159)/4</f>
        <v>92.593278482926024</v>
      </c>
      <c r="AC160" s="315">
        <f>SUM(AC156:AC159)</f>
        <v>74443975</v>
      </c>
      <c r="AD160" s="311">
        <f>SUM(AD156:AD159)/4</f>
        <v>92.593278482926024</v>
      </c>
    </row>
    <row r="161" spans="1:30">
      <c r="B161" s="296"/>
      <c r="C161" s="10" t="s">
        <v>1485</v>
      </c>
      <c r="D161" s="312" t="s">
        <v>2098</v>
      </c>
      <c r="E161" s="506"/>
      <c r="F161" s="481"/>
      <c r="G161" s="480"/>
      <c r="H161" s="273"/>
      <c r="I161" s="480"/>
      <c r="J161" s="300"/>
      <c r="K161" s="12"/>
      <c r="L161" s="296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>
      <c r="B162" s="48">
        <v>1</v>
      </c>
      <c r="C162" s="17" t="s">
        <v>206</v>
      </c>
      <c r="D162" s="49" t="s">
        <v>28</v>
      </c>
      <c r="E162" s="204"/>
      <c r="F162" s="204"/>
      <c r="G162" s="193"/>
      <c r="H162" s="89"/>
      <c r="I162" s="193"/>
      <c r="J162" s="15">
        <v>25328000</v>
      </c>
      <c r="K162" s="99">
        <v>56808000</v>
      </c>
      <c r="L162" s="13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9">
        <f>AB162</f>
        <v>101.07467258132657</v>
      </c>
      <c r="Z162" s="19">
        <f>AD162</f>
        <v>101.07467258132657</v>
      </c>
      <c r="AA162" s="17">
        <f>54968500+2450000</f>
        <v>57418500</v>
      </c>
      <c r="AB162" s="19">
        <f>AA162/K162*100</f>
        <v>101.07467258132657</v>
      </c>
      <c r="AC162" s="17">
        <f>AA162</f>
        <v>57418500</v>
      </c>
      <c r="AD162" s="19">
        <f>AC162/K162*100</f>
        <v>101.07467258132657</v>
      </c>
    </row>
    <row r="163" spans="1:30">
      <c r="B163" s="13">
        <v>2</v>
      </c>
      <c r="C163" s="50" t="s">
        <v>207</v>
      </c>
      <c r="D163" s="49" t="s">
        <v>30</v>
      </c>
      <c r="E163" s="204"/>
      <c r="F163" s="204"/>
      <c r="G163" s="193"/>
      <c r="H163" s="89"/>
      <c r="I163" s="193"/>
      <c r="J163" s="15">
        <v>7140000</v>
      </c>
      <c r="K163" s="99">
        <v>7140000</v>
      </c>
      <c r="L163" s="13" t="s">
        <v>1</v>
      </c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9">
        <f t="shared" ref="Y163:Y165" si="26">AB163</f>
        <v>100</v>
      </c>
      <c r="Z163" s="19">
        <f t="shared" ref="Z163:Z165" si="27">AD163</f>
        <v>100</v>
      </c>
      <c r="AA163" s="17">
        <v>7140000</v>
      </c>
      <c r="AB163" s="19">
        <f t="shared" ref="AB163:AB165" si="28">AA163/K163*100</f>
        <v>100</v>
      </c>
      <c r="AC163" s="17">
        <f>AA163</f>
        <v>7140000</v>
      </c>
      <c r="AD163" s="19">
        <f t="shared" ref="AD163:AD165" si="29">AC163/K163*100</f>
        <v>100</v>
      </c>
    </row>
    <row r="164" spans="1:30">
      <c r="B164" s="13">
        <v>3</v>
      </c>
      <c r="C164" s="17" t="s">
        <v>208</v>
      </c>
      <c r="D164" s="21" t="s">
        <v>32</v>
      </c>
      <c r="E164" s="204"/>
      <c r="F164" s="204"/>
      <c r="G164" s="193"/>
      <c r="H164" s="89"/>
      <c r="I164" s="193"/>
      <c r="J164" s="15">
        <v>7532000</v>
      </c>
      <c r="K164" s="99">
        <v>7532000</v>
      </c>
      <c r="L164" s="13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9">
        <f t="shared" si="26"/>
        <v>95.963887413701542</v>
      </c>
      <c r="Z164" s="19">
        <f t="shared" si="27"/>
        <v>95.963887413701542</v>
      </c>
      <c r="AA164" s="17">
        <f>4978000+2250000</f>
        <v>7228000</v>
      </c>
      <c r="AB164" s="19">
        <f t="shared" si="28"/>
        <v>95.963887413701542</v>
      </c>
      <c r="AC164" s="17">
        <f>AA164</f>
        <v>7228000</v>
      </c>
      <c r="AD164" s="19">
        <f t="shared" si="29"/>
        <v>95.963887413701542</v>
      </c>
    </row>
    <row r="165" spans="1:30">
      <c r="B165" s="47">
        <v>4</v>
      </c>
      <c r="C165" s="50" t="s">
        <v>209</v>
      </c>
      <c r="D165" s="313" t="s">
        <v>34</v>
      </c>
      <c r="E165" s="347"/>
      <c r="F165" s="347"/>
      <c r="G165" s="498"/>
      <c r="H165" s="105"/>
      <c r="I165" s="498"/>
      <c r="J165" s="304">
        <v>12000000</v>
      </c>
      <c r="K165" s="99">
        <v>12000000</v>
      </c>
      <c r="L165" s="47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19">
        <f t="shared" si="26"/>
        <v>99.583333333333329</v>
      </c>
      <c r="Z165" s="19">
        <f t="shared" si="27"/>
        <v>99.583333333333329</v>
      </c>
      <c r="AA165" s="51">
        <f>4950000+7000000</f>
        <v>11950000</v>
      </c>
      <c r="AB165" s="19">
        <f t="shared" si="28"/>
        <v>99.583333333333329</v>
      </c>
      <c r="AC165" s="17">
        <f>AA165</f>
        <v>11950000</v>
      </c>
      <c r="AD165" s="19">
        <f t="shared" si="29"/>
        <v>99.583333333333329</v>
      </c>
    </row>
    <row r="166" spans="1:30">
      <c r="B166" s="27">
        <v>6</v>
      </c>
      <c r="C166" s="880" t="s">
        <v>1486</v>
      </c>
      <c r="D166" s="881"/>
      <c r="E166" s="483"/>
      <c r="F166" s="483">
        <v>4</v>
      </c>
      <c r="G166" s="468"/>
      <c r="H166" s="526"/>
      <c r="I166" s="468"/>
      <c r="J166" s="35">
        <f>SUM(J162:J165)</f>
        <v>52000000</v>
      </c>
      <c r="K166" s="36">
        <f>SUM(K162:K165)</f>
        <v>83480000</v>
      </c>
      <c r="L166" s="37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42">
        <f>SUM(Y162:Y165)/4</f>
        <v>99.155473332090352</v>
      </c>
      <c r="Z166" s="42">
        <f>SUM(Z162:Z165)/4</f>
        <v>99.155473332090352</v>
      </c>
      <c r="AA166" s="28">
        <f>SUM(AA162:AA165)</f>
        <v>83736500</v>
      </c>
      <c r="AB166" s="28">
        <f>SUM(AB162:AB165)/4</f>
        <v>99.155473332090352</v>
      </c>
      <c r="AC166" s="28">
        <f>SUM(AC162:AC165)</f>
        <v>83736500</v>
      </c>
      <c r="AD166" s="28">
        <f>SUM(AD162:AD165)/4</f>
        <v>99.155473332090352</v>
      </c>
    </row>
    <row r="167" spans="1:30">
      <c r="B167" s="296"/>
      <c r="C167" s="10" t="s">
        <v>1487</v>
      </c>
      <c r="D167" s="299" t="s">
        <v>2388</v>
      </c>
      <c r="E167" s="506"/>
      <c r="F167" s="506"/>
      <c r="G167" s="479"/>
      <c r="H167" s="575"/>
      <c r="I167" s="479"/>
      <c r="J167" s="12"/>
      <c r="K167" s="12"/>
      <c r="L167" s="296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s="54" customFormat="1">
      <c r="A168" s="52"/>
      <c r="B168" s="48">
        <v>1</v>
      </c>
      <c r="C168" s="17" t="s">
        <v>206</v>
      </c>
      <c r="D168" s="49" t="s">
        <v>28</v>
      </c>
      <c r="E168" s="204"/>
      <c r="F168" s="204"/>
      <c r="G168" s="193"/>
      <c r="H168" s="89"/>
      <c r="I168" s="193"/>
      <c r="J168" s="15">
        <v>29747000</v>
      </c>
      <c r="K168" s="99">
        <v>50077000</v>
      </c>
      <c r="L168" s="13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53">
        <f>AB168</f>
        <v>91.839469217405195</v>
      </c>
      <c r="Z168" s="53">
        <f>AD168</f>
        <v>91.839469217405195</v>
      </c>
      <c r="AA168" s="53">
        <v>45990451</v>
      </c>
      <c r="AB168" s="19">
        <f>AA168/K168*100</f>
        <v>91.839469217405195</v>
      </c>
      <c r="AC168" s="53">
        <f>AA168</f>
        <v>45990451</v>
      </c>
      <c r="AD168" s="19">
        <f>AC168/K168*100</f>
        <v>91.839469217405195</v>
      </c>
    </row>
    <row r="169" spans="1:30">
      <c r="B169" s="13">
        <v>2</v>
      </c>
      <c r="C169" s="50" t="s">
        <v>207</v>
      </c>
      <c r="D169" s="49" t="s">
        <v>30</v>
      </c>
      <c r="E169" s="204"/>
      <c r="F169" s="204"/>
      <c r="G169" s="193"/>
      <c r="H169" s="89"/>
      <c r="I169" s="193"/>
      <c r="J169" s="15">
        <v>7920000</v>
      </c>
      <c r="K169" s="99">
        <v>7920000</v>
      </c>
      <c r="L169" s="13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53">
        <f>AB169</f>
        <v>91.666666666666657</v>
      </c>
      <c r="Z169" s="53">
        <f>AD169</f>
        <v>91.666666666666657</v>
      </c>
      <c r="AA169" s="53">
        <v>7260000</v>
      </c>
      <c r="AB169" s="19">
        <f t="shared" ref="AB169:AB171" si="30">AA169/K169*100</f>
        <v>91.666666666666657</v>
      </c>
      <c r="AC169" s="53">
        <f>AA169</f>
        <v>7260000</v>
      </c>
      <c r="AD169" s="19">
        <f t="shared" ref="AD169:AD171" si="31">AC169/K169*100</f>
        <v>91.666666666666657</v>
      </c>
    </row>
    <row r="170" spans="1:30">
      <c r="B170" s="45">
        <v>3</v>
      </c>
      <c r="C170" s="17" t="s">
        <v>208</v>
      </c>
      <c r="D170" s="21" t="s">
        <v>32</v>
      </c>
      <c r="E170" s="489"/>
      <c r="F170" s="489"/>
      <c r="G170" s="240"/>
      <c r="H170" s="186"/>
      <c r="I170" s="240"/>
      <c r="J170" s="15">
        <v>2333000</v>
      </c>
      <c r="K170" s="99">
        <v>2333000</v>
      </c>
      <c r="L170" s="45"/>
      <c r="M170" s="44" t="s">
        <v>1</v>
      </c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55">
        <f>AB170</f>
        <v>98.599271324474927</v>
      </c>
      <c r="Z170" s="55">
        <f>AD170</f>
        <v>98.599271324474927</v>
      </c>
      <c r="AA170" s="99">
        <v>2300321</v>
      </c>
      <c r="AB170" s="19">
        <f t="shared" si="30"/>
        <v>98.599271324474927</v>
      </c>
      <c r="AC170" s="55">
        <f>AA170</f>
        <v>2300321</v>
      </c>
      <c r="AD170" s="19">
        <f t="shared" si="31"/>
        <v>98.599271324474927</v>
      </c>
    </row>
    <row r="171" spans="1:30">
      <c r="B171" s="32">
        <v>4</v>
      </c>
      <c r="C171" s="50" t="s">
        <v>209</v>
      </c>
      <c r="D171" s="313" t="s">
        <v>34</v>
      </c>
      <c r="E171" s="507"/>
      <c r="F171" s="489"/>
      <c r="G171" s="240"/>
      <c r="H171" s="186"/>
      <c r="I171" s="240"/>
      <c r="J171" s="15">
        <v>12000000</v>
      </c>
      <c r="K171" s="99">
        <v>12000000</v>
      </c>
      <c r="L171" s="32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55">
        <f>AB171</f>
        <v>99.416666666666657</v>
      </c>
      <c r="Z171" s="55">
        <f>AB171</f>
        <v>99.416666666666657</v>
      </c>
      <c r="AA171" s="56">
        <v>11930000</v>
      </c>
      <c r="AB171" s="19">
        <f t="shared" si="30"/>
        <v>99.416666666666657</v>
      </c>
      <c r="AC171" s="55">
        <f>AA171</f>
        <v>11930000</v>
      </c>
      <c r="AD171" s="19">
        <f t="shared" si="31"/>
        <v>99.416666666666657</v>
      </c>
    </row>
    <row r="172" spans="1:30">
      <c r="B172" s="27">
        <v>7</v>
      </c>
      <c r="C172" s="880" t="s">
        <v>1488</v>
      </c>
      <c r="D172" s="881"/>
      <c r="E172" s="483"/>
      <c r="F172" s="483">
        <v>4</v>
      </c>
      <c r="G172" s="468"/>
      <c r="H172" s="526"/>
      <c r="I172" s="468"/>
      <c r="J172" s="35">
        <f>SUM(J168:J171)</f>
        <v>52000000</v>
      </c>
      <c r="K172" s="36">
        <f>SUM(K168:K171)</f>
        <v>72330000</v>
      </c>
      <c r="L172" s="37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42">
        <f>SUM(Y168:Y171)/4</f>
        <v>95.380518468803359</v>
      </c>
      <c r="Z172" s="42">
        <f>SUM(Z168:Z171)/4</f>
        <v>95.380518468803359</v>
      </c>
      <c r="AA172" s="42">
        <f>SUM(AA168:AA171)</f>
        <v>67480772</v>
      </c>
      <c r="AB172" s="28">
        <f>SUM(AB168:AB171)/4</f>
        <v>95.380518468803359</v>
      </c>
      <c r="AC172" s="42">
        <f>SUM(AC168:AC171)</f>
        <v>67480772</v>
      </c>
      <c r="AD172" s="28">
        <f>SUM(AD168:AD171)/4</f>
        <v>95.380518468803359</v>
      </c>
    </row>
    <row r="173" spans="1:30" ht="13.5" customHeight="1">
      <c r="B173" s="296"/>
      <c r="C173" s="10" t="s">
        <v>1489</v>
      </c>
      <c r="D173" s="299" t="s">
        <v>1490</v>
      </c>
      <c r="E173" s="506"/>
      <c r="F173" s="506"/>
      <c r="G173" s="479"/>
      <c r="H173" s="575"/>
      <c r="I173" s="479"/>
      <c r="J173" s="12"/>
      <c r="K173" s="12"/>
      <c r="L173" s="296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>
      <c r="B174" s="57">
        <v>1</v>
      </c>
      <c r="C174" s="17" t="s">
        <v>206</v>
      </c>
      <c r="D174" s="39" t="s">
        <v>28</v>
      </c>
      <c r="E174" s="204"/>
      <c r="F174" s="204"/>
      <c r="G174" s="193"/>
      <c r="H174" s="89"/>
      <c r="I174" s="193"/>
      <c r="J174" s="15">
        <v>23556000</v>
      </c>
      <c r="K174" s="99">
        <v>68928000</v>
      </c>
      <c r="L174" s="13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53">
        <f>AB174</f>
        <v>67.628877959610023</v>
      </c>
      <c r="Z174" s="53">
        <f>AD174</f>
        <v>67.628877959610023</v>
      </c>
      <c r="AA174" s="22">
        <v>46615233</v>
      </c>
      <c r="AB174" s="19">
        <f>AA174/K174*100</f>
        <v>67.628877959610023</v>
      </c>
      <c r="AC174" s="53">
        <f>AA174</f>
        <v>46615233</v>
      </c>
      <c r="AD174" s="19">
        <f>AC174/K174*100</f>
        <v>67.628877959610023</v>
      </c>
    </row>
    <row r="175" spans="1:30">
      <c r="B175" s="13">
        <v>2</v>
      </c>
      <c r="C175" s="17" t="s">
        <v>207</v>
      </c>
      <c r="D175" s="39" t="s">
        <v>30</v>
      </c>
      <c r="E175" s="204"/>
      <c r="F175" s="204"/>
      <c r="G175" s="193"/>
      <c r="H175" s="89"/>
      <c r="I175" s="193"/>
      <c r="J175" s="15">
        <v>10800000</v>
      </c>
      <c r="K175" s="99">
        <v>10800000</v>
      </c>
      <c r="L175" s="13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53">
        <f>AB175</f>
        <v>100</v>
      </c>
      <c r="Z175" s="53">
        <f>AD175</f>
        <v>100</v>
      </c>
      <c r="AA175" s="22">
        <v>10800000</v>
      </c>
      <c r="AB175" s="19">
        <f t="shared" ref="AB175:AB177" si="32">AA175/K175*100</f>
        <v>100</v>
      </c>
      <c r="AC175" s="53">
        <f>AA175</f>
        <v>10800000</v>
      </c>
      <c r="AD175" s="19">
        <f t="shared" ref="AD175:AD177" si="33">AC175/K175*100</f>
        <v>100</v>
      </c>
    </row>
    <row r="176" spans="1:30">
      <c r="B176" s="57">
        <v>3</v>
      </c>
      <c r="C176" s="17" t="s">
        <v>208</v>
      </c>
      <c r="D176" s="39" t="s">
        <v>32</v>
      </c>
      <c r="E176" s="204"/>
      <c r="F176" s="204"/>
      <c r="G176" s="193"/>
      <c r="H176" s="89"/>
      <c r="I176" s="193"/>
      <c r="J176" s="15">
        <v>7644000</v>
      </c>
      <c r="K176" s="99">
        <v>5957000</v>
      </c>
      <c r="L176" s="13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53">
        <f>AB176</f>
        <v>98.766157461809627</v>
      </c>
      <c r="Z176" s="53">
        <f>AD176</f>
        <v>98.766157461809627</v>
      </c>
      <c r="AA176" s="22">
        <v>5883500</v>
      </c>
      <c r="AB176" s="19">
        <f t="shared" si="32"/>
        <v>98.766157461809627</v>
      </c>
      <c r="AC176" s="53">
        <f>AA176</f>
        <v>5883500</v>
      </c>
      <c r="AD176" s="19">
        <f t="shared" si="33"/>
        <v>98.766157461809627</v>
      </c>
    </row>
    <row r="177" spans="2:30">
      <c r="B177" s="32">
        <v>4</v>
      </c>
      <c r="C177" s="33" t="s">
        <v>209</v>
      </c>
      <c r="D177" s="306" t="s">
        <v>34</v>
      </c>
      <c r="E177" s="507"/>
      <c r="F177" s="489"/>
      <c r="G177" s="240"/>
      <c r="H177" s="186"/>
      <c r="I177" s="240"/>
      <c r="J177" s="15">
        <v>10000000</v>
      </c>
      <c r="K177" s="99">
        <v>10000000</v>
      </c>
      <c r="L177" s="32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56">
        <f>AB177</f>
        <v>99.5</v>
      </c>
      <c r="Z177" s="56">
        <f>AD177</f>
        <v>99.5</v>
      </c>
      <c r="AA177" s="325">
        <v>9950000</v>
      </c>
      <c r="AB177" s="19">
        <f t="shared" si="32"/>
        <v>99.5</v>
      </c>
      <c r="AC177" s="56">
        <f>AA177</f>
        <v>9950000</v>
      </c>
      <c r="AD177" s="19">
        <f t="shared" si="33"/>
        <v>99.5</v>
      </c>
    </row>
    <row r="178" spans="2:30">
      <c r="B178" s="27">
        <v>8</v>
      </c>
      <c r="C178" s="880" t="s">
        <v>1491</v>
      </c>
      <c r="D178" s="881"/>
      <c r="E178" s="483"/>
      <c r="F178" s="483">
        <v>4</v>
      </c>
      <c r="G178" s="468"/>
      <c r="H178" s="526"/>
      <c r="I178" s="468"/>
      <c r="J178" s="35">
        <f>SUM(J174:J177)</f>
        <v>52000000</v>
      </c>
      <c r="K178" s="36">
        <f>SUM(K174:K177)</f>
        <v>95685000</v>
      </c>
      <c r="L178" s="37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42">
        <f>SUM(Y174:Y177)/4</f>
        <v>91.473758855354902</v>
      </c>
      <c r="Z178" s="42">
        <f>SUM(Z174:Z177)/4</f>
        <v>91.473758855354902</v>
      </c>
      <c r="AA178" s="67">
        <f>SUM(AA174:AA177)</f>
        <v>73248733</v>
      </c>
      <c r="AB178" s="28">
        <f>SUM(AB174:AB177)/4</f>
        <v>91.473758855354902</v>
      </c>
      <c r="AC178" s="42">
        <f>SUM(AC174:AC177)</f>
        <v>73248733</v>
      </c>
      <c r="AD178" s="28">
        <f>SUM(AD174:AD177)/4</f>
        <v>91.473758855354902</v>
      </c>
    </row>
    <row r="179" spans="2:30">
      <c r="B179" s="296"/>
      <c r="C179" s="10" t="s">
        <v>1492</v>
      </c>
      <c r="D179" s="299" t="s">
        <v>1493</v>
      </c>
      <c r="E179" s="506"/>
      <c r="F179" s="506"/>
      <c r="G179" s="479"/>
      <c r="H179" s="575"/>
      <c r="I179" s="479"/>
      <c r="J179" s="12"/>
      <c r="K179" s="12"/>
      <c r="L179" s="296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2:30">
      <c r="B180" s="57">
        <v>1</v>
      </c>
      <c r="C180" s="17" t="s">
        <v>206</v>
      </c>
      <c r="D180" s="39" t="s">
        <v>28</v>
      </c>
      <c r="E180" s="204"/>
      <c r="F180" s="204"/>
      <c r="G180" s="193"/>
      <c r="H180" s="89"/>
      <c r="I180" s="193"/>
      <c r="J180" s="15">
        <v>24824000</v>
      </c>
      <c r="K180" s="99">
        <v>47808000</v>
      </c>
      <c r="L180" s="13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53">
        <f>AB180</f>
        <v>97.504601740294518</v>
      </c>
      <c r="Z180" s="53">
        <f>AD180</f>
        <v>97.504601740294518</v>
      </c>
      <c r="AA180" s="99">
        <v>46615000</v>
      </c>
      <c r="AB180" s="19">
        <f>AA180/K180*100</f>
        <v>97.504601740294518</v>
      </c>
      <c r="AC180" s="53">
        <f>AA180</f>
        <v>46615000</v>
      </c>
      <c r="AD180" s="19">
        <f>AC180/K180*100</f>
        <v>97.504601740294518</v>
      </c>
    </row>
    <row r="181" spans="2:30">
      <c r="B181" s="13">
        <v>2</v>
      </c>
      <c r="C181" s="17" t="s">
        <v>207</v>
      </c>
      <c r="D181" s="39" t="s">
        <v>30</v>
      </c>
      <c r="E181" s="204"/>
      <c r="F181" s="204"/>
      <c r="G181" s="193"/>
      <c r="H181" s="89"/>
      <c r="I181" s="193"/>
      <c r="J181" s="15">
        <v>10800000</v>
      </c>
      <c r="K181" s="99">
        <v>3840000</v>
      </c>
      <c r="L181" s="13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53">
        <f>AB181</f>
        <v>0</v>
      </c>
      <c r="Z181" s="53">
        <f>AD181</f>
        <v>0</v>
      </c>
      <c r="AA181" s="53">
        <v>0</v>
      </c>
      <c r="AB181" s="19">
        <f t="shared" ref="AB181:AB183" si="34">AA181/K181*100</f>
        <v>0</v>
      </c>
      <c r="AC181" s="53">
        <f>AA181</f>
        <v>0</v>
      </c>
      <c r="AD181" s="19">
        <f t="shared" ref="AD181:AD183" si="35">AC181/K181*100</f>
        <v>0</v>
      </c>
    </row>
    <row r="182" spans="2:30">
      <c r="B182" s="57">
        <v>3</v>
      </c>
      <c r="C182" s="17" t="s">
        <v>208</v>
      </c>
      <c r="D182" s="39" t="s">
        <v>32</v>
      </c>
      <c r="E182" s="204"/>
      <c r="F182" s="204"/>
      <c r="G182" s="193"/>
      <c r="H182" s="89"/>
      <c r="I182" s="193"/>
      <c r="J182" s="15">
        <v>5876000</v>
      </c>
      <c r="K182" s="99">
        <v>11232000</v>
      </c>
      <c r="L182" s="13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53">
        <f>AB182</f>
        <v>100</v>
      </c>
      <c r="Z182" s="53">
        <f>AD182</f>
        <v>100</v>
      </c>
      <c r="AA182" s="99">
        <v>11232000</v>
      </c>
      <c r="AB182" s="19">
        <f t="shared" si="34"/>
        <v>100</v>
      </c>
      <c r="AC182" s="53">
        <f>AA182</f>
        <v>11232000</v>
      </c>
      <c r="AD182" s="19">
        <f t="shared" si="35"/>
        <v>100</v>
      </c>
    </row>
    <row r="183" spans="2:30">
      <c r="B183" s="32">
        <v>4</v>
      </c>
      <c r="C183" s="33" t="s">
        <v>209</v>
      </c>
      <c r="D183" s="306" t="s">
        <v>34</v>
      </c>
      <c r="E183" s="507"/>
      <c r="F183" s="489"/>
      <c r="G183" s="240"/>
      <c r="H183" s="186"/>
      <c r="I183" s="240"/>
      <c r="J183" s="15">
        <v>10500000</v>
      </c>
      <c r="K183" s="99">
        <v>10500000</v>
      </c>
      <c r="L183" s="32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56">
        <f>AB183</f>
        <v>99.523809523809518</v>
      </c>
      <c r="Z183" s="56">
        <f>AD183</f>
        <v>99.523809523809518</v>
      </c>
      <c r="AA183" s="325">
        <f>3550000+4950000+1950000</f>
        <v>10450000</v>
      </c>
      <c r="AB183" s="19">
        <f t="shared" si="34"/>
        <v>99.523809523809518</v>
      </c>
      <c r="AC183" s="325">
        <f>AA183</f>
        <v>10450000</v>
      </c>
      <c r="AD183" s="19">
        <f t="shared" si="35"/>
        <v>99.523809523809518</v>
      </c>
    </row>
    <row r="184" spans="2:30">
      <c r="B184" s="27">
        <v>9</v>
      </c>
      <c r="C184" s="880" t="s">
        <v>1494</v>
      </c>
      <c r="D184" s="881"/>
      <c r="E184" s="483"/>
      <c r="F184" s="483">
        <v>4</v>
      </c>
      <c r="G184" s="468"/>
      <c r="H184" s="526"/>
      <c r="I184" s="468"/>
      <c r="J184" s="35">
        <f>SUM(J180:J183)</f>
        <v>52000000</v>
      </c>
      <c r="K184" s="36">
        <f>SUM(K180:K183)</f>
        <v>73380000</v>
      </c>
      <c r="L184" s="37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42">
        <f>SUM(Y180:Y183)/4</f>
        <v>74.257102816026006</v>
      </c>
      <c r="Z184" s="42">
        <f>SUM(Z180:Z183)/4</f>
        <v>74.257102816026006</v>
      </c>
      <c r="AA184" s="67">
        <f>SUM(AA180:AA183)</f>
        <v>68297000</v>
      </c>
      <c r="AB184" s="42">
        <f>SUM(AB180:AB183)/4</f>
        <v>74.257102816026006</v>
      </c>
      <c r="AC184" s="67">
        <f>SUM(AC180:AC183)</f>
        <v>68297000</v>
      </c>
      <c r="AD184" s="42">
        <f>SUM(AD180:AD183)/4</f>
        <v>74.257102816026006</v>
      </c>
    </row>
    <row r="185" spans="2:30">
      <c r="B185" s="309"/>
      <c r="C185" s="10" t="s">
        <v>1495</v>
      </c>
      <c r="D185" s="299" t="s">
        <v>1496</v>
      </c>
      <c r="E185" s="506"/>
      <c r="F185" s="506"/>
      <c r="G185" s="479"/>
      <c r="H185" s="575"/>
      <c r="I185" s="479"/>
      <c r="J185" s="12"/>
      <c r="K185" s="12"/>
      <c r="L185" s="296"/>
      <c r="M185" s="10" t="s">
        <v>1</v>
      </c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2:30">
      <c r="B186" s="45">
        <v>1</v>
      </c>
      <c r="C186" s="44" t="s">
        <v>206</v>
      </c>
      <c r="D186" s="314" t="s">
        <v>28</v>
      </c>
      <c r="E186" s="489"/>
      <c r="F186" s="489"/>
      <c r="G186" s="240"/>
      <c r="H186" s="186"/>
      <c r="I186" s="240"/>
      <c r="J186" s="15">
        <v>21195000</v>
      </c>
      <c r="K186" s="99">
        <v>41225000</v>
      </c>
      <c r="L186" s="45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55">
        <f>AB186</f>
        <v>92.880848999393578</v>
      </c>
      <c r="Z186" s="55">
        <f>AD186</f>
        <v>92.880848999393578</v>
      </c>
      <c r="AA186" s="55">
        <v>38290130</v>
      </c>
      <c r="AB186" s="46">
        <f>AA186/K186*100</f>
        <v>92.880848999393578</v>
      </c>
      <c r="AC186" s="55">
        <f>AA186</f>
        <v>38290130</v>
      </c>
      <c r="AD186" s="46">
        <f>AC186/K186*100</f>
        <v>92.880848999393578</v>
      </c>
    </row>
    <row r="187" spans="2:30">
      <c r="B187" s="45">
        <v>2</v>
      </c>
      <c r="C187" s="58" t="s">
        <v>210</v>
      </c>
      <c r="D187" s="59" t="s">
        <v>30</v>
      </c>
      <c r="E187" s="489"/>
      <c r="F187" s="489"/>
      <c r="G187" s="240"/>
      <c r="H187" s="186"/>
      <c r="I187" s="240"/>
      <c r="J187" s="15">
        <v>12425000</v>
      </c>
      <c r="K187" s="99">
        <v>12425000</v>
      </c>
      <c r="L187" s="45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55">
        <f>AB187</f>
        <v>100</v>
      </c>
      <c r="Z187" s="55">
        <f>AD187</f>
        <v>100</v>
      </c>
      <c r="AA187" s="55">
        <v>12425000</v>
      </c>
      <c r="AB187" s="46">
        <f t="shared" ref="AB187:AB189" si="36">AA187/K187*100</f>
        <v>100</v>
      </c>
      <c r="AC187" s="55">
        <f>AA187</f>
        <v>12425000</v>
      </c>
      <c r="AD187" s="46">
        <f t="shared" ref="AD187:AD189" si="37">AC187/K187*100</f>
        <v>100</v>
      </c>
    </row>
    <row r="188" spans="2:30">
      <c r="B188" s="45">
        <v>3</v>
      </c>
      <c r="C188" s="58" t="s">
        <v>204</v>
      </c>
      <c r="D188" s="59" t="s">
        <v>32</v>
      </c>
      <c r="E188" s="489"/>
      <c r="F188" s="489"/>
      <c r="G188" s="240"/>
      <c r="H188" s="186"/>
      <c r="I188" s="240"/>
      <c r="J188" s="15">
        <v>5580000</v>
      </c>
      <c r="K188" s="99">
        <v>5580000</v>
      </c>
      <c r="L188" s="45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55">
        <f>AB188</f>
        <v>98.597311827956986</v>
      </c>
      <c r="Z188" s="55">
        <f>AD188</f>
        <v>98.597311827956986</v>
      </c>
      <c r="AA188" s="55">
        <v>5501730</v>
      </c>
      <c r="AB188" s="46">
        <f t="shared" si="36"/>
        <v>98.597311827956986</v>
      </c>
      <c r="AC188" s="55">
        <f>AA188</f>
        <v>5501730</v>
      </c>
      <c r="AD188" s="46">
        <f t="shared" si="37"/>
        <v>98.597311827956986</v>
      </c>
    </row>
    <row r="189" spans="2:30">
      <c r="B189" s="45">
        <v>4</v>
      </c>
      <c r="C189" s="60" t="s">
        <v>205</v>
      </c>
      <c r="D189" s="61" t="s">
        <v>34</v>
      </c>
      <c r="E189" s="507"/>
      <c r="F189" s="489"/>
      <c r="G189" s="240"/>
      <c r="H189" s="186"/>
      <c r="I189" s="240"/>
      <c r="J189" s="15">
        <v>12800000</v>
      </c>
      <c r="K189" s="99">
        <v>12800000</v>
      </c>
      <c r="L189" s="32"/>
      <c r="M189" s="33"/>
      <c r="N189" s="33"/>
      <c r="O189" s="33"/>
      <c r="P189" s="33"/>
      <c r="Q189" s="33"/>
      <c r="R189" s="44"/>
      <c r="S189" s="44"/>
      <c r="T189" s="44"/>
      <c r="U189" s="44"/>
      <c r="V189" s="44"/>
      <c r="W189" s="44"/>
      <c r="X189" s="44"/>
      <c r="Y189" s="55">
        <f>AB189</f>
        <v>99.609375</v>
      </c>
      <c r="Z189" s="55">
        <f>AD189</f>
        <v>99.609375</v>
      </c>
      <c r="AA189" s="56">
        <v>12750000</v>
      </c>
      <c r="AB189" s="46">
        <f t="shared" si="36"/>
        <v>99.609375</v>
      </c>
      <c r="AC189" s="55">
        <f>AA189</f>
        <v>12750000</v>
      </c>
      <c r="AD189" s="46">
        <f t="shared" si="37"/>
        <v>99.609375</v>
      </c>
    </row>
    <row r="190" spans="2:30">
      <c r="B190" s="27">
        <v>10</v>
      </c>
      <c r="C190" s="880" t="s">
        <v>1497</v>
      </c>
      <c r="D190" s="881"/>
      <c r="E190" s="483"/>
      <c r="F190" s="483">
        <v>4</v>
      </c>
      <c r="G190" s="468"/>
      <c r="H190" s="526"/>
      <c r="I190" s="468"/>
      <c r="J190" s="315">
        <f>SUM(J186:J189)</f>
        <v>52000000</v>
      </c>
      <c r="K190" s="315">
        <f>SUM(K186:K189)</f>
        <v>72030000</v>
      </c>
      <c r="L190" s="37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42">
        <f>SUM(Y186:Y189)/4</f>
        <v>97.771883956837641</v>
      </c>
      <c r="Z190" s="42">
        <f>SUM(Z186:Z189)/4</f>
        <v>97.771883956837641</v>
      </c>
      <c r="AA190" s="42">
        <f>SUM(AA186:AA189)</f>
        <v>68966860</v>
      </c>
      <c r="AB190" s="42">
        <f>SUM(AB186:AB189)/4</f>
        <v>97.771883956837641</v>
      </c>
      <c r="AC190" s="42">
        <f>SUM(AC186:AC189)</f>
        <v>68966860</v>
      </c>
      <c r="AD190" s="42">
        <f>SUM(AD186:AD189)/4</f>
        <v>97.771883956837641</v>
      </c>
    </row>
    <row r="191" spans="2:30">
      <c r="B191" s="62"/>
      <c r="C191" s="63" t="s">
        <v>1498</v>
      </c>
      <c r="D191" s="64" t="s">
        <v>1499</v>
      </c>
      <c r="E191" s="484"/>
      <c r="F191" s="484"/>
      <c r="G191" s="472"/>
      <c r="H191" s="242"/>
      <c r="I191" s="472"/>
      <c r="J191" s="65"/>
      <c r="K191" s="65"/>
      <c r="L191" s="66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2:30">
      <c r="B192" s="13">
        <v>1</v>
      </c>
      <c r="C192" s="17" t="s">
        <v>206</v>
      </c>
      <c r="D192" s="39" t="s">
        <v>28</v>
      </c>
      <c r="E192" s="204"/>
      <c r="F192" s="204"/>
      <c r="G192" s="193"/>
      <c r="H192" s="89"/>
      <c r="I192" s="193"/>
      <c r="J192" s="15">
        <v>21000000</v>
      </c>
      <c r="K192" s="99">
        <v>40500000</v>
      </c>
      <c r="L192" s="13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53">
        <f>AB192</f>
        <v>59.911264197530869</v>
      </c>
      <c r="Z192" s="53">
        <f>AD192</f>
        <v>59.911264197530869</v>
      </c>
      <c r="AA192" s="22">
        <v>24264062</v>
      </c>
      <c r="AB192" s="19">
        <f>AA192/K192*100</f>
        <v>59.911264197530869</v>
      </c>
      <c r="AC192" s="53">
        <f>AA192</f>
        <v>24264062</v>
      </c>
      <c r="AD192" s="19">
        <f>AC192/K192*100</f>
        <v>59.911264197530869</v>
      </c>
    </row>
    <row r="193" spans="2:30">
      <c r="B193" s="13">
        <v>2</v>
      </c>
      <c r="C193" s="17" t="s">
        <v>207</v>
      </c>
      <c r="D193" s="39" t="s">
        <v>30</v>
      </c>
      <c r="E193" s="204"/>
      <c r="F193" s="204"/>
      <c r="G193" s="193"/>
      <c r="H193" s="89"/>
      <c r="I193" s="193"/>
      <c r="J193" s="15">
        <v>12000000</v>
      </c>
      <c r="K193" s="99">
        <v>12000000</v>
      </c>
      <c r="L193" s="13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53">
        <f>AB193</f>
        <v>16.666666666666664</v>
      </c>
      <c r="Z193" s="53">
        <f>AD193</f>
        <v>16.666666666666664</v>
      </c>
      <c r="AA193" s="22">
        <v>2000000</v>
      </c>
      <c r="AB193" s="19">
        <f t="shared" ref="AB193:AB195" si="38">AA193/K193*100</f>
        <v>16.666666666666664</v>
      </c>
      <c r="AC193" s="53">
        <f>AA193</f>
        <v>2000000</v>
      </c>
      <c r="AD193" s="19">
        <f t="shared" ref="AD193:AD195" si="39">AC193/K193*100</f>
        <v>16.666666666666664</v>
      </c>
    </row>
    <row r="194" spans="2:30">
      <c r="B194" s="45">
        <f>B193+1</f>
        <v>3</v>
      </c>
      <c r="C194" s="17" t="s">
        <v>208</v>
      </c>
      <c r="D194" s="39" t="s">
        <v>32</v>
      </c>
      <c r="E194" s="489"/>
      <c r="F194" s="489"/>
      <c r="G194" s="240"/>
      <c r="H194" s="186"/>
      <c r="I194" s="240"/>
      <c r="J194" s="15">
        <v>14000000</v>
      </c>
      <c r="K194" s="99">
        <v>14000000</v>
      </c>
      <c r="L194" s="45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55">
        <f>AB194</f>
        <v>100</v>
      </c>
      <c r="Z194" s="55">
        <f>AD194</f>
        <v>100</v>
      </c>
      <c r="AA194" s="22">
        <v>14000000</v>
      </c>
      <c r="AB194" s="19">
        <f t="shared" si="38"/>
        <v>100</v>
      </c>
      <c r="AC194" s="55">
        <f>AA194</f>
        <v>14000000</v>
      </c>
      <c r="AD194" s="19">
        <f t="shared" si="39"/>
        <v>100</v>
      </c>
    </row>
    <row r="195" spans="2:30">
      <c r="B195" s="45">
        <f>B194+1</f>
        <v>4</v>
      </c>
      <c r="C195" s="316" t="s">
        <v>205</v>
      </c>
      <c r="D195" s="317" t="s">
        <v>34</v>
      </c>
      <c r="E195" s="507"/>
      <c r="F195" s="489"/>
      <c r="G195" s="240"/>
      <c r="H195" s="186"/>
      <c r="I195" s="240"/>
      <c r="J195" s="15">
        <v>5000000</v>
      </c>
      <c r="K195" s="99">
        <v>5000000</v>
      </c>
      <c r="L195" s="32"/>
      <c r="M195" s="33"/>
      <c r="N195" s="33"/>
      <c r="O195" s="33"/>
      <c r="P195" s="33"/>
      <c r="Q195" s="33"/>
      <c r="R195" s="44"/>
      <c r="S195" s="44"/>
      <c r="T195" s="44"/>
      <c r="U195" s="44"/>
      <c r="V195" s="44"/>
      <c r="W195" s="44"/>
      <c r="X195" s="44"/>
      <c r="Y195" s="55">
        <f>AB195</f>
        <v>100</v>
      </c>
      <c r="Z195" s="55">
        <f>AD195</f>
        <v>100</v>
      </c>
      <c r="AA195" s="22">
        <v>5000000</v>
      </c>
      <c r="AB195" s="19">
        <f t="shared" si="38"/>
        <v>100</v>
      </c>
      <c r="AC195" s="55">
        <f>AA195</f>
        <v>5000000</v>
      </c>
      <c r="AD195" s="19">
        <f t="shared" si="39"/>
        <v>100</v>
      </c>
    </row>
    <row r="196" spans="2:30">
      <c r="B196" s="27">
        <v>11</v>
      </c>
      <c r="C196" s="880" t="s">
        <v>1500</v>
      </c>
      <c r="D196" s="881"/>
      <c r="E196" s="483"/>
      <c r="F196" s="483">
        <v>4</v>
      </c>
      <c r="G196" s="468"/>
      <c r="H196" s="526"/>
      <c r="I196" s="468"/>
      <c r="J196" s="315">
        <f>SUM(J192:J195)</f>
        <v>52000000</v>
      </c>
      <c r="K196" s="315">
        <f>SUM(K192:K195)</f>
        <v>71500000</v>
      </c>
      <c r="L196" s="37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08">
        <f>SUM(Y192:Y195)/4</f>
        <v>69.144482716049382</v>
      </c>
      <c r="Z196" s="308">
        <f>SUM(Z192:Z195)/4</f>
        <v>69.144482716049382</v>
      </c>
      <c r="AA196" s="308">
        <f>SUM(AA192:AA195)</f>
        <v>45264062</v>
      </c>
      <c r="AB196" s="308">
        <f>SUM(AB192:AB195)/3</f>
        <v>92.192643621399171</v>
      </c>
      <c r="AC196" s="308">
        <f>SUM(AC192:AC194)</f>
        <v>40264062</v>
      </c>
      <c r="AD196" s="308">
        <f>SUM(AD192:AD195)/4</f>
        <v>69.144482716049382</v>
      </c>
    </row>
    <row r="197" spans="2:30" ht="18" customHeight="1">
      <c r="B197" s="296"/>
      <c r="C197" s="10" t="s">
        <v>1501</v>
      </c>
      <c r="D197" s="299" t="s">
        <v>1502</v>
      </c>
      <c r="E197" s="506"/>
      <c r="F197" s="506"/>
      <c r="G197" s="479"/>
      <c r="H197" s="575"/>
      <c r="I197" s="479"/>
      <c r="J197" s="12"/>
      <c r="K197" s="12"/>
      <c r="L197" s="296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2:30">
      <c r="B198" s="48">
        <v>1</v>
      </c>
      <c r="C198" s="17" t="s">
        <v>206</v>
      </c>
      <c r="D198" s="39" t="s">
        <v>28</v>
      </c>
      <c r="E198" s="204"/>
      <c r="F198" s="204"/>
      <c r="G198" s="193"/>
      <c r="H198" s="89"/>
      <c r="I198" s="193"/>
      <c r="J198" s="15">
        <v>24200000</v>
      </c>
      <c r="K198" s="99">
        <v>39580000</v>
      </c>
      <c r="L198" s="13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53">
        <f>AB198</f>
        <v>21.276212733703893</v>
      </c>
      <c r="Z198" s="53">
        <f>AD198</f>
        <v>21.276212733703893</v>
      </c>
      <c r="AA198" s="22">
        <v>8421125</v>
      </c>
      <c r="AB198" s="19">
        <f>AA198/K198*100</f>
        <v>21.276212733703893</v>
      </c>
      <c r="AC198" s="22">
        <f>AA198</f>
        <v>8421125</v>
      </c>
      <c r="AD198" s="19">
        <f>AC198/K198*100</f>
        <v>21.276212733703893</v>
      </c>
    </row>
    <row r="199" spans="2:30">
      <c r="B199" s="13">
        <v>2</v>
      </c>
      <c r="C199" s="17" t="s">
        <v>207</v>
      </c>
      <c r="D199" s="39" t="s">
        <v>30</v>
      </c>
      <c r="E199" s="204"/>
      <c r="F199" s="204"/>
      <c r="G199" s="193"/>
      <c r="H199" s="89"/>
      <c r="I199" s="193"/>
      <c r="J199" s="15">
        <v>9000000</v>
      </c>
      <c r="K199" s="99">
        <v>9000000</v>
      </c>
      <c r="L199" s="13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53">
        <f>AB199</f>
        <v>44.444444444444443</v>
      </c>
      <c r="Z199" s="53">
        <f>AD199</f>
        <v>44.444444444444443</v>
      </c>
      <c r="AA199" s="22">
        <v>4000000</v>
      </c>
      <c r="AB199" s="19">
        <f t="shared" ref="AB199:AB201" si="40">AA199/K199*100</f>
        <v>44.444444444444443</v>
      </c>
      <c r="AC199" s="22">
        <f>AA199</f>
        <v>4000000</v>
      </c>
      <c r="AD199" s="19">
        <f t="shared" ref="AD199:AD201" si="41">AC199/K199*100</f>
        <v>44.444444444444443</v>
      </c>
    </row>
    <row r="200" spans="2:30">
      <c r="B200" s="13">
        <v>3</v>
      </c>
      <c r="C200" s="17" t="s">
        <v>208</v>
      </c>
      <c r="D200" s="39" t="s">
        <v>32</v>
      </c>
      <c r="E200" s="489"/>
      <c r="F200" s="489"/>
      <c r="G200" s="240"/>
      <c r="H200" s="186"/>
      <c r="I200" s="240"/>
      <c r="J200" s="15">
        <v>13800000</v>
      </c>
      <c r="K200" s="99">
        <v>13800000</v>
      </c>
      <c r="L200" s="45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55">
        <f>AB200</f>
        <v>72.251949275362321</v>
      </c>
      <c r="Z200" s="55">
        <f>AD200</f>
        <v>72.251949275362321</v>
      </c>
      <c r="AA200" s="73">
        <v>9970769</v>
      </c>
      <c r="AB200" s="19">
        <f t="shared" si="40"/>
        <v>72.251949275362321</v>
      </c>
      <c r="AC200" s="73">
        <f>AA200</f>
        <v>9970769</v>
      </c>
      <c r="AD200" s="19">
        <f t="shared" si="41"/>
        <v>72.251949275362321</v>
      </c>
    </row>
    <row r="201" spans="2:30">
      <c r="B201" s="32">
        <v>4</v>
      </c>
      <c r="C201" s="60" t="s">
        <v>205</v>
      </c>
      <c r="D201" s="61" t="s">
        <v>34</v>
      </c>
      <c r="E201" s="507"/>
      <c r="F201" s="489"/>
      <c r="G201" s="240"/>
      <c r="H201" s="186"/>
      <c r="I201" s="240"/>
      <c r="J201" s="15">
        <v>5000000</v>
      </c>
      <c r="K201" s="99">
        <v>5000000</v>
      </c>
      <c r="L201" s="32"/>
      <c r="M201" s="33"/>
      <c r="N201" s="33"/>
      <c r="O201" s="33"/>
      <c r="P201" s="33"/>
      <c r="Q201" s="33"/>
      <c r="R201" s="44"/>
      <c r="S201" s="44"/>
      <c r="T201" s="44"/>
      <c r="U201" s="44"/>
      <c r="V201" s="44"/>
      <c r="W201" s="44"/>
      <c r="X201" s="44"/>
      <c r="Y201" s="55">
        <f>AB201</f>
        <v>99</v>
      </c>
      <c r="Z201" s="55">
        <f>AD201</f>
        <v>99</v>
      </c>
      <c r="AA201" s="73">
        <v>4950000</v>
      </c>
      <c r="AB201" s="19">
        <f t="shared" si="40"/>
        <v>99</v>
      </c>
      <c r="AC201" s="73">
        <f>AA201</f>
        <v>4950000</v>
      </c>
      <c r="AD201" s="19">
        <f t="shared" si="41"/>
        <v>99</v>
      </c>
    </row>
    <row r="202" spans="2:30">
      <c r="B202" s="27">
        <v>12</v>
      </c>
      <c r="C202" s="878" t="s">
        <v>1503</v>
      </c>
      <c r="D202" s="879"/>
      <c r="E202" s="483"/>
      <c r="F202" s="483">
        <v>4</v>
      </c>
      <c r="G202" s="468"/>
      <c r="H202" s="526"/>
      <c r="I202" s="468"/>
      <c r="J202" s="67">
        <f>SUM(J198:J201)</f>
        <v>52000000</v>
      </c>
      <c r="K202" s="67">
        <f>SUM(K198:K201)</f>
        <v>67380000</v>
      </c>
      <c r="L202" s="318"/>
      <c r="M202" s="319"/>
      <c r="N202" s="319"/>
      <c r="O202" s="319"/>
      <c r="P202" s="319"/>
      <c r="Q202" s="319"/>
      <c r="R202" s="319"/>
      <c r="S202" s="319"/>
      <c r="T202" s="319"/>
      <c r="U202" s="319"/>
      <c r="V202" s="319"/>
      <c r="W202" s="319"/>
      <c r="X202" s="319"/>
      <c r="Y202" s="28">
        <f>SUM(Y198:Y201)/4</f>
        <v>59.243151613377663</v>
      </c>
      <c r="Z202" s="28">
        <f>SUM(Z198:Z201)/4</f>
        <v>59.243151613377663</v>
      </c>
      <c r="AA202" s="67">
        <f>SUM(AA198:AA201)</f>
        <v>27341894</v>
      </c>
      <c r="AB202" s="28">
        <f>SUM(AB198:AB201)/4</f>
        <v>59.243151613377663</v>
      </c>
      <c r="AC202" s="67">
        <f>SUM(AC198:AC201)</f>
        <v>27341894</v>
      </c>
      <c r="AD202" s="28">
        <f>SUM(AD198:AD201)/4</f>
        <v>59.243151613377663</v>
      </c>
    </row>
    <row r="203" spans="2:30">
      <c r="B203" s="296"/>
      <c r="C203" s="10" t="s">
        <v>1504</v>
      </c>
      <c r="D203" s="299" t="s">
        <v>2389</v>
      </c>
      <c r="E203" s="506"/>
      <c r="F203" s="506"/>
      <c r="G203" s="479"/>
      <c r="H203" s="575"/>
      <c r="I203" s="479"/>
      <c r="J203" s="12"/>
      <c r="K203" s="12"/>
      <c r="L203" s="296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spans="2:30">
      <c r="B204" s="13">
        <f>B203+1</f>
        <v>1</v>
      </c>
      <c r="C204" s="17" t="s">
        <v>206</v>
      </c>
      <c r="D204" s="39" t="s">
        <v>28</v>
      </c>
      <c r="E204" s="204"/>
      <c r="F204" s="204"/>
      <c r="G204" s="193"/>
      <c r="H204" s="89"/>
      <c r="I204" s="193"/>
      <c r="J204" s="15">
        <v>20205000</v>
      </c>
      <c r="K204" s="99">
        <v>41585000</v>
      </c>
      <c r="L204" s="13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53">
        <f>AB204</f>
        <v>92.560466514368173</v>
      </c>
      <c r="Z204" s="53">
        <f>AD204</f>
        <v>92.560466514368173</v>
      </c>
      <c r="AA204" s="22">
        <v>38491270</v>
      </c>
      <c r="AB204" s="19">
        <f>AA204/K204*100</f>
        <v>92.560466514368173</v>
      </c>
      <c r="AC204" s="53">
        <f>AA204</f>
        <v>38491270</v>
      </c>
      <c r="AD204" s="19">
        <f>AC204/K204*100</f>
        <v>92.560466514368173</v>
      </c>
    </row>
    <row r="205" spans="2:30" ht="17.25" customHeight="1">
      <c r="B205" s="57">
        <v>2</v>
      </c>
      <c r="C205" s="17" t="s">
        <v>207</v>
      </c>
      <c r="D205" s="39" t="s">
        <v>30</v>
      </c>
      <c r="E205" s="204"/>
      <c r="F205" s="204"/>
      <c r="G205" s="193"/>
      <c r="H205" s="89"/>
      <c r="I205" s="193"/>
      <c r="J205" s="15">
        <v>9000000</v>
      </c>
      <c r="K205" s="99">
        <v>9000000</v>
      </c>
      <c r="L205" s="13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53">
        <f>AB205</f>
        <v>100</v>
      </c>
      <c r="Z205" s="53">
        <f>AD205</f>
        <v>100</v>
      </c>
      <c r="AA205" s="22">
        <v>9000000</v>
      </c>
      <c r="AB205" s="19">
        <f t="shared" ref="AB205:AB207" si="42">AA205/K205*100</f>
        <v>100</v>
      </c>
      <c r="AC205" s="53">
        <f>AA205</f>
        <v>9000000</v>
      </c>
      <c r="AD205" s="19">
        <f t="shared" ref="AD205:AD207" si="43">AC205/K205*100</f>
        <v>100</v>
      </c>
    </row>
    <row r="206" spans="2:30" ht="19.5" customHeight="1">
      <c r="B206" s="13">
        <v>3</v>
      </c>
      <c r="C206" s="17" t="s">
        <v>208</v>
      </c>
      <c r="D206" s="39" t="s">
        <v>32</v>
      </c>
      <c r="E206" s="204"/>
      <c r="F206" s="204"/>
      <c r="G206" s="193"/>
      <c r="H206" s="89"/>
      <c r="I206" s="193"/>
      <c r="J206" s="15">
        <v>14795000</v>
      </c>
      <c r="K206" s="99">
        <v>14795000</v>
      </c>
      <c r="L206" s="13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53">
        <f>AB206</f>
        <v>98.536721865495096</v>
      </c>
      <c r="Z206" s="53">
        <f>AD206</f>
        <v>98.536721865495096</v>
      </c>
      <c r="AA206" s="22">
        <v>14578508</v>
      </c>
      <c r="AB206" s="19">
        <f t="shared" si="42"/>
        <v>98.536721865495096</v>
      </c>
      <c r="AC206" s="53">
        <f>AA206</f>
        <v>14578508</v>
      </c>
      <c r="AD206" s="19">
        <f t="shared" si="43"/>
        <v>98.536721865495096</v>
      </c>
    </row>
    <row r="207" spans="2:30" ht="18.75" customHeight="1">
      <c r="B207" s="32">
        <v>4</v>
      </c>
      <c r="C207" s="33" t="s">
        <v>209</v>
      </c>
      <c r="D207" s="306" t="s">
        <v>34</v>
      </c>
      <c r="E207" s="507"/>
      <c r="F207" s="489"/>
      <c r="G207" s="240"/>
      <c r="H207" s="186"/>
      <c r="I207" s="240"/>
      <c r="J207" s="15">
        <v>8000000</v>
      </c>
      <c r="K207" s="99">
        <v>8000000</v>
      </c>
      <c r="L207" s="32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56">
        <f>AB207</f>
        <v>100</v>
      </c>
      <c r="Z207" s="56">
        <f>AD207</f>
        <v>100</v>
      </c>
      <c r="AA207" s="325">
        <v>8000000</v>
      </c>
      <c r="AB207" s="19">
        <f t="shared" si="42"/>
        <v>100</v>
      </c>
      <c r="AC207" s="56">
        <f>AA207</f>
        <v>8000000</v>
      </c>
      <c r="AD207" s="19">
        <f t="shared" si="43"/>
        <v>100</v>
      </c>
    </row>
    <row r="208" spans="2:30">
      <c r="B208" s="27">
        <v>13</v>
      </c>
      <c r="C208" s="878" t="s">
        <v>1505</v>
      </c>
      <c r="D208" s="879"/>
      <c r="E208" s="483"/>
      <c r="F208" s="483">
        <v>4</v>
      </c>
      <c r="G208" s="468"/>
      <c r="H208" s="526"/>
      <c r="I208" s="468"/>
      <c r="J208" s="35">
        <f>SUM(J204:J207)</f>
        <v>52000000</v>
      </c>
      <c r="K208" s="36">
        <f>SUM(K204:K207)</f>
        <v>73380000</v>
      </c>
      <c r="L208" s="295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42">
        <f>SUM(Y204:Y207)/4</f>
        <v>97.774297094965817</v>
      </c>
      <c r="Z208" s="42">
        <f>SUM(Z204:Z207)/4</f>
        <v>97.774297094965817</v>
      </c>
      <c r="AA208" s="42">
        <f>SUM(AA204:AA207)</f>
        <v>70069778</v>
      </c>
      <c r="AB208" s="28">
        <f>SUM(AB204:AB207)/4</f>
        <v>97.774297094965817</v>
      </c>
      <c r="AC208" s="42">
        <f>SUM(AC204:AC207)</f>
        <v>70069778</v>
      </c>
      <c r="AD208" s="28">
        <f>SUM(AD204:AD207)/4</f>
        <v>97.774297094965817</v>
      </c>
    </row>
    <row r="209" spans="2:30">
      <c r="B209" s="296"/>
      <c r="C209" s="10" t="s">
        <v>1506</v>
      </c>
      <c r="D209" s="299" t="s">
        <v>2099</v>
      </c>
      <c r="E209" s="506"/>
      <c r="F209" s="506"/>
      <c r="G209" s="479"/>
      <c r="H209" s="575"/>
      <c r="I209" s="479"/>
      <c r="J209" s="12"/>
      <c r="K209" s="12"/>
      <c r="L209" s="296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</row>
    <row r="210" spans="2:30">
      <c r="B210" s="57">
        <v>1</v>
      </c>
      <c r="C210" s="17" t="s">
        <v>206</v>
      </c>
      <c r="D210" s="39" t="s">
        <v>28</v>
      </c>
      <c r="E210" s="204"/>
      <c r="F210" s="204"/>
      <c r="G210" s="193"/>
      <c r="H210" s="89"/>
      <c r="I210" s="193"/>
      <c r="J210" s="15">
        <v>27639000</v>
      </c>
      <c r="K210" s="99">
        <v>55979000</v>
      </c>
      <c r="L210" s="13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53">
        <f>AB210</f>
        <v>87.913614033834122</v>
      </c>
      <c r="Z210" s="53">
        <f>AD210</f>
        <v>87.913614033834122</v>
      </c>
      <c r="AA210" s="22">
        <f>10520000+9963200+210000+237160+100000+250000+900000+5026127+1694175+20312500</f>
        <v>49213162</v>
      </c>
      <c r="AB210" s="19">
        <f>AA210/K210*100</f>
        <v>87.913614033834122</v>
      </c>
      <c r="AC210" s="53">
        <f>AA210</f>
        <v>49213162</v>
      </c>
      <c r="AD210" s="19">
        <f>AC210/K210*100</f>
        <v>87.913614033834122</v>
      </c>
    </row>
    <row r="211" spans="2:30">
      <c r="B211" s="13">
        <v>2</v>
      </c>
      <c r="C211" s="17" t="s">
        <v>207</v>
      </c>
      <c r="D211" s="39" t="s">
        <v>30</v>
      </c>
      <c r="E211" s="204"/>
      <c r="F211" s="204"/>
      <c r="G211" s="193"/>
      <c r="H211" s="89"/>
      <c r="I211" s="193"/>
      <c r="J211" s="15">
        <v>10700000</v>
      </c>
      <c r="K211" s="99">
        <v>10700000</v>
      </c>
      <c r="L211" s="13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53">
        <f>AB211</f>
        <v>100</v>
      </c>
      <c r="Z211" s="53">
        <f>AD211</f>
        <v>100</v>
      </c>
      <c r="AA211" s="22">
        <v>10700000</v>
      </c>
      <c r="AB211" s="19">
        <f t="shared" ref="AB211:AB213" si="44">AA211/K211*100</f>
        <v>100</v>
      </c>
      <c r="AC211" s="53">
        <f>AA211</f>
        <v>10700000</v>
      </c>
      <c r="AD211" s="19">
        <f t="shared" ref="AD211:AD213" si="45">AC211/K211*100</f>
        <v>100</v>
      </c>
    </row>
    <row r="212" spans="2:30">
      <c r="B212" s="13">
        <v>3</v>
      </c>
      <c r="C212" s="17" t="s">
        <v>208</v>
      </c>
      <c r="D212" s="39" t="s">
        <v>32</v>
      </c>
      <c r="E212" s="204"/>
      <c r="F212" s="204"/>
      <c r="G212" s="193"/>
      <c r="H212" s="89"/>
      <c r="I212" s="193"/>
      <c r="J212" s="15">
        <v>5111000</v>
      </c>
      <c r="K212" s="99">
        <v>9301000</v>
      </c>
      <c r="L212" s="13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53">
        <f>AB212</f>
        <v>79.123750134394157</v>
      </c>
      <c r="Z212" s="53">
        <f>AD212</f>
        <v>79.123750134394157</v>
      </c>
      <c r="AA212" s="22">
        <f>319000+806000+359500+107800+4692000+1075000</f>
        <v>7359300</v>
      </c>
      <c r="AB212" s="19">
        <f t="shared" si="44"/>
        <v>79.123750134394157</v>
      </c>
      <c r="AC212" s="53">
        <f>AA212</f>
        <v>7359300</v>
      </c>
      <c r="AD212" s="19">
        <f t="shared" si="45"/>
        <v>79.123750134394157</v>
      </c>
    </row>
    <row r="213" spans="2:30">
      <c r="B213" s="32">
        <f>B212+1</f>
        <v>4</v>
      </c>
      <c r="C213" s="33" t="s">
        <v>209</v>
      </c>
      <c r="D213" s="306" t="s">
        <v>34</v>
      </c>
      <c r="E213" s="507"/>
      <c r="F213" s="489"/>
      <c r="G213" s="240"/>
      <c r="H213" s="186"/>
      <c r="I213" s="240"/>
      <c r="J213" s="15">
        <v>8550000</v>
      </c>
      <c r="K213" s="99">
        <v>8550000</v>
      </c>
      <c r="L213" s="32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56">
        <f>AB213</f>
        <v>100</v>
      </c>
      <c r="Z213" s="56">
        <f>AD213</f>
        <v>100</v>
      </c>
      <c r="AA213" s="325">
        <f>5000000+1750000+1300000+500000</f>
        <v>8550000</v>
      </c>
      <c r="AB213" s="19">
        <f t="shared" si="44"/>
        <v>100</v>
      </c>
      <c r="AC213" s="56">
        <f>AA213</f>
        <v>8550000</v>
      </c>
      <c r="AD213" s="19">
        <f t="shared" si="45"/>
        <v>100</v>
      </c>
    </row>
    <row r="214" spans="2:30">
      <c r="B214" s="27">
        <v>14</v>
      </c>
      <c r="C214" s="880" t="s">
        <v>1507</v>
      </c>
      <c r="D214" s="881"/>
      <c r="E214" s="483"/>
      <c r="F214" s="483">
        <v>4</v>
      </c>
      <c r="G214" s="468"/>
      <c r="H214" s="526"/>
      <c r="I214" s="468"/>
      <c r="J214" s="315">
        <f>SUM(J210:J213)</f>
        <v>52000000</v>
      </c>
      <c r="K214" s="315">
        <f>SUM(K210:K213)</f>
        <v>84530000</v>
      </c>
      <c r="L214" s="37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20">
        <f>SUM(Y210:Y213)/4</f>
        <v>91.759341042057059</v>
      </c>
      <c r="Z214" s="320">
        <f>SUM(Z210:Z213)/4</f>
        <v>91.759341042057059</v>
      </c>
      <c r="AA214" s="315">
        <f>SUM(AA210:AA213)</f>
        <v>75822462</v>
      </c>
      <c r="AB214" s="320">
        <f>SUM(AB210:AB213)/4</f>
        <v>91.759341042057059</v>
      </c>
      <c r="AC214" s="315">
        <f>SUM(AC210:AC213)</f>
        <v>75822462</v>
      </c>
      <c r="AD214" s="320">
        <f>SUM(AD210:AD213)/4</f>
        <v>91.759341042057059</v>
      </c>
    </row>
    <row r="215" spans="2:30">
      <c r="B215" s="321"/>
      <c r="C215" s="10" t="s">
        <v>1508</v>
      </c>
      <c r="D215" s="299" t="s">
        <v>1509</v>
      </c>
      <c r="E215" s="506"/>
      <c r="F215" s="506"/>
      <c r="G215" s="479"/>
      <c r="H215" s="575"/>
      <c r="I215" s="479"/>
      <c r="J215" s="12"/>
      <c r="K215" s="12"/>
      <c r="L215" s="296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2:30">
      <c r="B216" s="13">
        <v>1</v>
      </c>
      <c r="C216" s="17" t="s">
        <v>206</v>
      </c>
      <c r="D216" s="39" t="s">
        <v>28</v>
      </c>
      <c r="E216" s="204"/>
      <c r="F216" s="204"/>
      <c r="G216" s="193"/>
      <c r="H216" s="89"/>
      <c r="I216" s="193"/>
      <c r="J216" s="15">
        <v>26240000</v>
      </c>
      <c r="K216" s="99">
        <v>56510000</v>
      </c>
      <c r="L216" s="13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53">
        <f>AB216</f>
        <v>89.792300477791542</v>
      </c>
      <c r="Z216" s="53">
        <f>AD216</f>
        <v>89.792300477791542</v>
      </c>
      <c r="AA216" s="22">
        <v>50741629</v>
      </c>
      <c r="AB216" s="19">
        <f>AA216/K216*100</f>
        <v>89.792300477791542</v>
      </c>
      <c r="AC216" s="53">
        <f>AA216</f>
        <v>50741629</v>
      </c>
      <c r="AD216" s="19">
        <f>AC216/K216*100</f>
        <v>89.792300477791542</v>
      </c>
    </row>
    <row r="217" spans="2:30">
      <c r="B217" s="13">
        <v>2</v>
      </c>
      <c r="C217" s="17" t="s">
        <v>207</v>
      </c>
      <c r="D217" s="39" t="s">
        <v>30</v>
      </c>
      <c r="E217" s="204"/>
      <c r="F217" s="204"/>
      <c r="G217" s="193"/>
      <c r="H217" s="89"/>
      <c r="I217" s="193"/>
      <c r="J217" s="15">
        <v>10560000</v>
      </c>
      <c r="K217" s="99">
        <v>10560000</v>
      </c>
      <c r="L217" s="13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53">
        <f>AB217</f>
        <v>100</v>
      </c>
      <c r="Z217" s="53">
        <f>AD217</f>
        <v>100</v>
      </c>
      <c r="AA217" s="22">
        <v>10560000</v>
      </c>
      <c r="AB217" s="19">
        <f t="shared" ref="AB217:AB219" si="46">AA217/K217*100</f>
        <v>100</v>
      </c>
      <c r="AC217" s="53">
        <f>AA217</f>
        <v>10560000</v>
      </c>
      <c r="AD217" s="19">
        <f t="shared" ref="AD217:AD219" si="47">AC217/K217*100</f>
        <v>100</v>
      </c>
    </row>
    <row r="218" spans="2:30">
      <c r="B218" s="13">
        <v>3</v>
      </c>
      <c r="C218" s="17" t="s">
        <v>208</v>
      </c>
      <c r="D218" s="39" t="s">
        <v>32</v>
      </c>
      <c r="E218" s="204"/>
      <c r="F218" s="204"/>
      <c r="G218" s="193"/>
      <c r="H218" s="89"/>
      <c r="I218" s="193"/>
      <c r="J218" s="15">
        <v>2900000</v>
      </c>
      <c r="K218" s="99">
        <v>2900000</v>
      </c>
      <c r="L218" s="13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53">
        <f>AB218</f>
        <v>90.344827586206904</v>
      </c>
      <c r="Z218" s="53">
        <f>AD218</f>
        <v>90.344827586206904</v>
      </c>
      <c r="AA218" s="22">
        <v>2620000</v>
      </c>
      <c r="AB218" s="19">
        <f t="shared" si="46"/>
        <v>90.344827586206904</v>
      </c>
      <c r="AC218" s="53">
        <f>AA218</f>
        <v>2620000</v>
      </c>
      <c r="AD218" s="19">
        <f t="shared" si="47"/>
        <v>90.344827586206904</v>
      </c>
    </row>
    <row r="219" spans="2:30">
      <c r="B219" s="32">
        <f>B218+1</f>
        <v>4</v>
      </c>
      <c r="C219" s="33" t="s">
        <v>209</v>
      </c>
      <c r="D219" s="306" t="s">
        <v>34</v>
      </c>
      <c r="E219" s="507"/>
      <c r="F219" s="489"/>
      <c r="G219" s="240"/>
      <c r="H219" s="186"/>
      <c r="I219" s="240"/>
      <c r="J219" s="15">
        <v>12300000</v>
      </c>
      <c r="K219" s="99">
        <v>12300000</v>
      </c>
      <c r="L219" s="32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56">
        <f>AB219</f>
        <v>100</v>
      </c>
      <c r="Z219" s="56">
        <f>AD219</f>
        <v>100</v>
      </c>
      <c r="AA219" s="325">
        <v>12300000</v>
      </c>
      <c r="AB219" s="19">
        <f t="shared" si="46"/>
        <v>100</v>
      </c>
      <c r="AC219" s="56">
        <f>AA219</f>
        <v>12300000</v>
      </c>
      <c r="AD219" s="19">
        <f t="shared" si="47"/>
        <v>100</v>
      </c>
    </row>
    <row r="220" spans="2:30">
      <c r="B220" s="27">
        <v>15</v>
      </c>
      <c r="C220" s="880" t="s">
        <v>1510</v>
      </c>
      <c r="D220" s="881"/>
      <c r="E220" s="483"/>
      <c r="F220" s="483">
        <v>4</v>
      </c>
      <c r="G220" s="468"/>
      <c r="H220" s="526"/>
      <c r="I220" s="468"/>
      <c r="J220" s="315">
        <f>SUM(J216:J219)</f>
        <v>52000000</v>
      </c>
      <c r="K220" s="315">
        <f>SUM(K216:K219)</f>
        <v>82270000</v>
      </c>
      <c r="L220" s="37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11">
        <f>SUM(Y216:Y219)/4</f>
        <v>95.034282015999608</v>
      </c>
      <c r="Z220" s="311">
        <f>SUM(Z216:Z219)/4</f>
        <v>95.034282015999608</v>
      </c>
      <c r="AA220" s="320">
        <f>SUM(AA216:AA219)</f>
        <v>76221629</v>
      </c>
      <c r="AB220" s="311">
        <f>SUM(AB216:AB219)/4</f>
        <v>95.034282015999608</v>
      </c>
      <c r="AC220" s="320">
        <f>SUM(AC216:AC219)</f>
        <v>76221629</v>
      </c>
      <c r="AD220" s="311">
        <f>SUM(AD216:AD219)/4</f>
        <v>95.034282015999608</v>
      </c>
    </row>
    <row r="221" spans="2:30" ht="13.5" customHeight="1">
      <c r="B221" s="322"/>
      <c r="C221" s="10" t="s">
        <v>211</v>
      </c>
      <c r="D221" s="299" t="s">
        <v>1511</v>
      </c>
      <c r="E221" s="506"/>
      <c r="F221" s="506"/>
      <c r="G221" s="479"/>
      <c r="H221" s="575"/>
      <c r="I221" s="479"/>
      <c r="J221" s="12"/>
      <c r="K221" s="12"/>
      <c r="L221" s="296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2:30">
      <c r="B222" s="13">
        <v>1</v>
      </c>
      <c r="C222" s="17" t="s">
        <v>206</v>
      </c>
      <c r="D222" s="39" t="s">
        <v>28</v>
      </c>
      <c r="E222" s="204"/>
      <c r="F222" s="204"/>
      <c r="G222" s="193"/>
      <c r="H222" s="89"/>
      <c r="I222" s="193"/>
      <c r="J222" s="15">
        <v>20167000</v>
      </c>
      <c r="K222" s="99">
        <v>43722000</v>
      </c>
      <c r="L222" s="13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53">
        <f>AB222</f>
        <v>88.245873930744239</v>
      </c>
      <c r="Z222" s="53">
        <f>AD222</f>
        <v>88.245873930744239</v>
      </c>
      <c r="AA222" s="22">
        <v>38582861</v>
      </c>
      <c r="AB222" s="19">
        <f>AA222/K222*100</f>
        <v>88.245873930744239</v>
      </c>
      <c r="AC222" s="22">
        <f>AA222</f>
        <v>38582861</v>
      </c>
      <c r="AD222" s="19">
        <f>AC222/K222*100</f>
        <v>88.245873930744239</v>
      </c>
    </row>
    <row r="223" spans="2:30">
      <c r="B223" s="13">
        <v>2</v>
      </c>
      <c r="C223" s="17" t="s">
        <v>207</v>
      </c>
      <c r="D223" s="39" t="s">
        <v>30</v>
      </c>
      <c r="E223" s="204"/>
      <c r="F223" s="204"/>
      <c r="G223" s="193"/>
      <c r="H223" s="89"/>
      <c r="I223" s="193"/>
      <c r="J223" s="15">
        <v>13615000</v>
      </c>
      <c r="K223" s="99">
        <v>13615000</v>
      </c>
      <c r="L223" s="13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53">
        <f>AB223</f>
        <v>99.889827396254134</v>
      </c>
      <c r="Z223" s="53">
        <f>AD223</f>
        <v>99.889827396254134</v>
      </c>
      <c r="AA223" s="22">
        <v>13600000</v>
      </c>
      <c r="AB223" s="19">
        <f t="shared" ref="AB223:AB225" si="48">AA223/K223*100</f>
        <v>99.889827396254134</v>
      </c>
      <c r="AC223" s="22">
        <f>AA223</f>
        <v>13600000</v>
      </c>
      <c r="AD223" s="19">
        <f t="shared" ref="AD223:AD225" si="49">AC223/K223*100</f>
        <v>99.889827396254134</v>
      </c>
    </row>
    <row r="224" spans="2:30">
      <c r="B224" s="13">
        <f>B223+1</f>
        <v>3</v>
      </c>
      <c r="C224" s="17" t="s">
        <v>208</v>
      </c>
      <c r="D224" s="39" t="s">
        <v>32</v>
      </c>
      <c r="E224" s="204"/>
      <c r="F224" s="204"/>
      <c r="G224" s="193"/>
      <c r="H224" s="89"/>
      <c r="I224" s="193"/>
      <c r="J224" s="15">
        <v>6118000</v>
      </c>
      <c r="K224" s="99">
        <v>6118000</v>
      </c>
      <c r="L224" s="13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53">
        <f>AB224</f>
        <v>99.949885583524022</v>
      </c>
      <c r="Z224" s="53">
        <f>AD224</f>
        <v>99.949885583524022</v>
      </c>
      <c r="AA224" s="22">
        <f>1350000+500000+660000+440000+3164934</f>
        <v>6114934</v>
      </c>
      <c r="AB224" s="19">
        <f t="shared" si="48"/>
        <v>99.949885583524022</v>
      </c>
      <c r="AC224" s="22">
        <f>AA224</f>
        <v>6114934</v>
      </c>
      <c r="AD224" s="19">
        <f t="shared" si="49"/>
        <v>99.949885583524022</v>
      </c>
    </row>
    <row r="225" spans="2:30">
      <c r="B225" s="32">
        <f>B224+1</f>
        <v>4</v>
      </c>
      <c r="C225" s="33" t="s">
        <v>209</v>
      </c>
      <c r="D225" s="306" t="s">
        <v>34</v>
      </c>
      <c r="E225" s="507"/>
      <c r="F225" s="489"/>
      <c r="G225" s="240"/>
      <c r="H225" s="186"/>
      <c r="I225" s="240"/>
      <c r="J225" s="15">
        <v>27100000</v>
      </c>
      <c r="K225" s="99">
        <v>27100000</v>
      </c>
      <c r="L225" s="32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56">
        <f>AB225</f>
        <v>96.343173431734314</v>
      </c>
      <c r="Z225" s="56">
        <f>AD225</f>
        <v>96.343173431734314</v>
      </c>
      <c r="AA225" s="325">
        <f>14009000+5000000+5000000+2100000</f>
        <v>26109000</v>
      </c>
      <c r="AB225" s="19">
        <f t="shared" si="48"/>
        <v>96.343173431734314</v>
      </c>
      <c r="AC225" s="325">
        <f>AA225</f>
        <v>26109000</v>
      </c>
      <c r="AD225" s="19">
        <f t="shared" si="49"/>
        <v>96.343173431734314</v>
      </c>
    </row>
    <row r="226" spans="2:30" ht="13.5" customHeight="1">
      <c r="B226" s="27">
        <v>16</v>
      </c>
      <c r="C226" s="880" t="s">
        <v>1512</v>
      </c>
      <c r="D226" s="881"/>
      <c r="E226" s="483"/>
      <c r="F226" s="483">
        <v>4</v>
      </c>
      <c r="G226" s="468"/>
      <c r="H226" s="526"/>
      <c r="I226" s="468"/>
      <c r="J226" s="315">
        <f>SUM(J222:J225)</f>
        <v>67000000</v>
      </c>
      <c r="K226" s="315">
        <f>SUM(K222:K225)</f>
        <v>90555000</v>
      </c>
      <c r="L226" s="37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23">
        <f>SUM(Y222:Y225)/4</f>
        <v>96.107190085564184</v>
      </c>
      <c r="Z226" s="323">
        <f>SUM(Z222:Z225)/4</f>
        <v>96.107190085564184</v>
      </c>
      <c r="AA226" s="655">
        <f>SUM(AA222:AA225)</f>
        <v>84406795</v>
      </c>
      <c r="AB226" s="323">
        <f>SUM(AB222:AB225)/4</f>
        <v>96.107190085564184</v>
      </c>
      <c r="AC226" s="655">
        <f>SUM(AC222:AC225)</f>
        <v>84406795</v>
      </c>
      <c r="AD226" s="323">
        <f>SUM(AD222:AD225)/4</f>
        <v>96.107190085564184</v>
      </c>
    </row>
    <row r="227" spans="2:30">
      <c r="B227" s="324"/>
      <c r="C227" s="10" t="s">
        <v>212</v>
      </c>
      <c r="D227" s="299" t="s">
        <v>1513</v>
      </c>
      <c r="E227" s="506"/>
      <c r="F227" s="506"/>
      <c r="G227" s="479"/>
      <c r="H227" s="575"/>
      <c r="I227" s="479"/>
      <c r="J227" s="12"/>
      <c r="K227" s="12"/>
      <c r="L227" s="296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2:30">
      <c r="B228" s="13">
        <v>1</v>
      </c>
      <c r="C228" s="17" t="s">
        <v>206</v>
      </c>
      <c r="D228" s="39" t="s">
        <v>28</v>
      </c>
      <c r="E228" s="204"/>
      <c r="F228" s="204"/>
      <c r="G228" s="193"/>
      <c r="H228" s="89"/>
      <c r="I228" s="193"/>
      <c r="J228" s="15">
        <v>25694000</v>
      </c>
      <c r="K228" s="99">
        <v>54184000</v>
      </c>
      <c r="L228" s="13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53">
        <f>AB228</f>
        <v>85.299904030710167</v>
      </c>
      <c r="Z228" s="53">
        <f>AD228</f>
        <v>85.299904030710167</v>
      </c>
      <c r="AA228" s="53">
        <v>46218900</v>
      </c>
      <c r="AB228" s="19">
        <f>AA228/K228*100</f>
        <v>85.299904030710167</v>
      </c>
      <c r="AC228" s="53">
        <f>AA228</f>
        <v>46218900</v>
      </c>
      <c r="AD228" s="19">
        <f>AC228/K228*100</f>
        <v>85.299904030710167</v>
      </c>
    </row>
    <row r="229" spans="2:30">
      <c r="B229" s="13">
        <v>2</v>
      </c>
      <c r="C229" s="17" t="s">
        <v>207</v>
      </c>
      <c r="D229" s="49" t="s">
        <v>30</v>
      </c>
      <c r="E229" s="204"/>
      <c r="F229" s="204"/>
      <c r="G229" s="193"/>
      <c r="H229" s="89"/>
      <c r="I229" s="193"/>
      <c r="J229" s="15">
        <v>7200000</v>
      </c>
      <c r="K229" s="99">
        <v>7200000</v>
      </c>
      <c r="L229" s="13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53">
        <f>AB229</f>
        <v>65.416666666666671</v>
      </c>
      <c r="Z229" s="53">
        <f>AD229</f>
        <v>65.416666666666671</v>
      </c>
      <c r="AA229" s="53">
        <v>4710000</v>
      </c>
      <c r="AB229" s="19">
        <f t="shared" ref="AB229:AB231" si="50">AA229/K229*100</f>
        <v>65.416666666666671</v>
      </c>
      <c r="AC229" s="53">
        <f>AA229</f>
        <v>4710000</v>
      </c>
      <c r="AD229" s="19">
        <f t="shared" ref="AD229:AD231" si="51">AC229/K229*100</f>
        <v>65.416666666666671</v>
      </c>
    </row>
    <row r="230" spans="2:30">
      <c r="B230" s="13">
        <v>3</v>
      </c>
      <c r="C230" s="17" t="s">
        <v>208</v>
      </c>
      <c r="D230" s="39" t="s">
        <v>32</v>
      </c>
      <c r="E230" s="204"/>
      <c r="F230" s="204"/>
      <c r="G230" s="193"/>
      <c r="H230" s="89"/>
      <c r="I230" s="193"/>
      <c r="J230" s="15">
        <v>11106000</v>
      </c>
      <c r="K230" s="99">
        <v>11106000</v>
      </c>
      <c r="L230" s="13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53">
        <f>AB230</f>
        <v>99.294975688816862</v>
      </c>
      <c r="Z230" s="53">
        <f>AD230</f>
        <v>99.294975688816862</v>
      </c>
      <c r="AA230" s="53">
        <v>11027700</v>
      </c>
      <c r="AB230" s="19">
        <f t="shared" si="50"/>
        <v>99.294975688816862</v>
      </c>
      <c r="AC230" s="53">
        <f>AA230</f>
        <v>11027700</v>
      </c>
      <c r="AD230" s="19">
        <f t="shared" si="51"/>
        <v>99.294975688816862</v>
      </c>
    </row>
    <row r="231" spans="2:30">
      <c r="B231" s="32">
        <f>B230+1</f>
        <v>4</v>
      </c>
      <c r="C231" s="33" t="s">
        <v>209</v>
      </c>
      <c r="D231" s="306" t="s">
        <v>34</v>
      </c>
      <c r="E231" s="507"/>
      <c r="F231" s="489"/>
      <c r="G231" s="240"/>
      <c r="H231" s="186"/>
      <c r="I231" s="240"/>
      <c r="J231" s="15">
        <v>8000000</v>
      </c>
      <c r="K231" s="99">
        <v>8000000</v>
      </c>
      <c r="L231" s="32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56">
        <f>AB231</f>
        <v>99.375</v>
      </c>
      <c r="Z231" s="56">
        <f>AD231</f>
        <v>99.375</v>
      </c>
      <c r="AA231" s="56">
        <v>7950000</v>
      </c>
      <c r="AB231" s="19">
        <f t="shared" si="50"/>
        <v>99.375</v>
      </c>
      <c r="AC231" s="56">
        <f>AA231</f>
        <v>7950000</v>
      </c>
      <c r="AD231" s="19">
        <f t="shared" si="51"/>
        <v>99.375</v>
      </c>
    </row>
    <row r="232" spans="2:30" ht="15.75" customHeight="1">
      <c r="B232" s="27">
        <v>17</v>
      </c>
      <c r="C232" s="882" t="s">
        <v>1514</v>
      </c>
      <c r="D232" s="883"/>
      <c r="E232" s="483"/>
      <c r="F232" s="483">
        <v>4</v>
      </c>
      <c r="G232" s="468"/>
      <c r="H232" s="526"/>
      <c r="I232" s="468"/>
      <c r="J232" s="315">
        <f>SUM(J228:J231)</f>
        <v>52000000</v>
      </c>
      <c r="K232" s="315">
        <f>SUM(K228:K231)</f>
        <v>80490000</v>
      </c>
      <c r="L232" s="37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295">
        <f>SUM(Y227:Y231)/4</f>
        <v>87.346636596548421</v>
      </c>
      <c r="Z232" s="295">
        <f>SUM(Z227:Z231)/4</f>
        <v>87.346636596548421</v>
      </c>
      <c r="AA232" s="295">
        <f>SUM(AA227:AA231)</f>
        <v>69906600</v>
      </c>
      <c r="AB232" s="295">
        <f>SUM(AB227:AB231)/4</f>
        <v>87.346636596548421</v>
      </c>
      <c r="AC232" s="295">
        <f>SUM(AC227:AC231)</f>
        <v>69906600</v>
      </c>
      <c r="AD232" s="295">
        <f>SUM(AD227:AD231)/4</f>
        <v>87.346636596548421</v>
      </c>
    </row>
    <row r="233" spans="2:30">
      <c r="B233" s="309"/>
      <c r="C233" s="10" t="s">
        <v>1515</v>
      </c>
      <c r="D233" s="299" t="s">
        <v>2100</v>
      </c>
      <c r="E233" s="506"/>
      <c r="F233" s="506"/>
      <c r="G233" s="479"/>
      <c r="H233" s="575"/>
      <c r="I233" s="479"/>
      <c r="J233" s="12"/>
      <c r="K233" s="12"/>
      <c r="L233" s="296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spans="2:30">
      <c r="B234" s="13">
        <v>1</v>
      </c>
      <c r="C234" s="17" t="s">
        <v>206</v>
      </c>
      <c r="D234" s="39" t="s">
        <v>28</v>
      </c>
      <c r="E234" s="204"/>
      <c r="F234" s="204"/>
      <c r="G234" s="193"/>
      <c r="H234" s="89"/>
      <c r="I234" s="193"/>
      <c r="J234" s="15">
        <v>26123000</v>
      </c>
      <c r="K234" s="99">
        <v>46153000</v>
      </c>
      <c r="L234" s="13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53">
        <f>AB234</f>
        <v>95.112896236430998</v>
      </c>
      <c r="Z234" s="53">
        <f>AD234</f>
        <v>95.112896236430998</v>
      </c>
      <c r="AA234" s="22">
        <v>43897455</v>
      </c>
      <c r="AB234" s="19">
        <f>AA234/K234*100</f>
        <v>95.112896236430998</v>
      </c>
      <c r="AC234" s="22">
        <f>AA234</f>
        <v>43897455</v>
      </c>
      <c r="AD234" s="19">
        <f>AC234/K234*100</f>
        <v>95.112896236430998</v>
      </c>
    </row>
    <row r="235" spans="2:30">
      <c r="B235" s="13">
        <v>2</v>
      </c>
      <c r="C235" s="17" t="s">
        <v>207</v>
      </c>
      <c r="D235" s="39" t="s">
        <v>30</v>
      </c>
      <c r="E235" s="204"/>
      <c r="F235" s="204"/>
      <c r="G235" s="193"/>
      <c r="H235" s="89"/>
      <c r="I235" s="193"/>
      <c r="J235" s="15">
        <v>4320000</v>
      </c>
      <c r="K235" s="99">
        <v>4320000</v>
      </c>
      <c r="L235" s="13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53">
        <f>AB235</f>
        <v>100</v>
      </c>
      <c r="Z235" s="53">
        <f>AD235</f>
        <v>100</v>
      </c>
      <c r="AA235" s="22">
        <v>4320000</v>
      </c>
      <c r="AB235" s="19">
        <f t="shared" ref="AB235:AB237" si="52">AA235/K235*100</f>
        <v>100</v>
      </c>
      <c r="AC235" s="22">
        <f>AA235</f>
        <v>4320000</v>
      </c>
      <c r="AD235" s="19">
        <f t="shared" ref="AD235:AD237" si="53">AC235/K235*100</f>
        <v>100</v>
      </c>
    </row>
    <row r="236" spans="2:30">
      <c r="B236" s="13">
        <f>B235+1</f>
        <v>3</v>
      </c>
      <c r="C236" s="17" t="s">
        <v>208</v>
      </c>
      <c r="D236" s="39" t="s">
        <v>32</v>
      </c>
      <c r="E236" s="204"/>
      <c r="F236" s="204"/>
      <c r="G236" s="193"/>
      <c r="H236" s="89"/>
      <c r="I236" s="193"/>
      <c r="J236" s="15">
        <v>11557000</v>
      </c>
      <c r="K236" s="99">
        <v>11557000</v>
      </c>
      <c r="L236" s="13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53">
        <f>AB236</f>
        <v>100</v>
      </c>
      <c r="Z236" s="53">
        <f>AD236</f>
        <v>100</v>
      </c>
      <c r="AA236" s="22">
        <v>11557000</v>
      </c>
      <c r="AB236" s="19">
        <f t="shared" si="52"/>
        <v>100</v>
      </c>
      <c r="AC236" s="22">
        <f>AA236</f>
        <v>11557000</v>
      </c>
      <c r="AD236" s="19">
        <f t="shared" si="53"/>
        <v>100</v>
      </c>
    </row>
    <row r="237" spans="2:30">
      <c r="B237" s="32">
        <f>B236+1</f>
        <v>4</v>
      </c>
      <c r="C237" s="33" t="s">
        <v>209</v>
      </c>
      <c r="D237" s="306" t="s">
        <v>34</v>
      </c>
      <c r="E237" s="507"/>
      <c r="F237" s="489"/>
      <c r="G237" s="240"/>
      <c r="H237" s="186"/>
      <c r="I237" s="240"/>
      <c r="J237" s="15">
        <v>10000000</v>
      </c>
      <c r="K237" s="99">
        <v>10000000</v>
      </c>
      <c r="L237" s="32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56">
        <f>AB237</f>
        <v>99.5</v>
      </c>
      <c r="Z237" s="56">
        <f>AD237</f>
        <v>99.5</v>
      </c>
      <c r="AA237" s="325">
        <v>9950000</v>
      </c>
      <c r="AB237" s="19">
        <f t="shared" si="52"/>
        <v>99.5</v>
      </c>
      <c r="AC237" s="325">
        <f>AA237</f>
        <v>9950000</v>
      </c>
      <c r="AD237" s="19">
        <f t="shared" si="53"/>
        <v>99.5</v>
      </c>
    </row>
    <row r="238" spans="2:30">
      <c r="B238" s="27">
        <v>18</v>
      </c>
      <c r="C238" s="878" t="s">
        <v>1516</v>
      </c>
      <c r="D238" s="879"/>
      <c r="E238" s="483"/>
      <c r="F238" s="483">
        <v>4</v>
      </c>
      <c r="G238" s="468"/>
      <c r="H238" s="526"/>
      <c r="I238" s="468"/>
      <c r="J238" s="67">
        <f>SUM(J234:J237)</f>
        <v>52000000</v>
      </c>
      <c r="K238" s="67">
        <f>SUM(K234:K237)</f>
        <v>72030000</v>
      </c>
      <c r="L238" s="318"/>
      <c r="M238" s="319"/>
      <c r="N238" s="319"/>
      <c r="O238" s="319"/>
      <c r="P238" s="319"/>
      <c r="Q238" s="319"/>
      <c r="R238" s="319"/>
      <c r="S238" s="319"/>
      <c r="T238" s="319"/>
      <c r="U238" s="319"/>
      <c r="V238" s="319"/>
      <c r="W238" s="319"/>
      <c r="X238" s="319"/>
      <c r="Y238" s="42">
        <f t="shared" ref="Y238:AD238" si="54">SUM(Y234:Y237)/4</f>
        <v>98.653224059107743</v>
      </c>
      <c r="Z238" s="42">
        <f t="shared" si="54"/>
        <v>98.653224059107743</v>
      </c>
      <c r="AA238" s="67">
        <f>SUM(AA234:AA237)</f>
        <v>69724455</v>
      </c>
      <c r="AB238" s="42">
        <f t="shared" si="54"/>
        <v>98.653224059107743</v>
      </c>
      <c r="AC238" s="67">
        <f>SUM(AC234:AC237)</f>
        <v>69724455</v>
      </c>
      <c r="AD238" s="42">
        <f t="shared" si="54"/>
        <v>98.653224059107743</v>
      </c>
    </row>
    <row r="239" spans="2:30">
      <c r="B239" s="309"/>
      <c r="C239" s="10" t="s">
        <v>1517</v>
      </c>
      <c r="D239" s="299" t="s">
        <v>2101</v>
      </c>
      <c r="E239" s="506"/>
      <c r="F239" s="506"/>
      <c r="G239" s="479"/>
      <c r="H239" s="575"/>
      <c r="I239" s="479"/>
      <c r="J239" s="12"/>
      <c r="K239" s="12"/>
      <c r="L239" s="296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spans="2:30">
      <c r="B240" s="13">
        <v>1</v>
      </c>
      <c r="C240" s="17" t="s">
        <v>206</v>
      </c>
      <c r="D240" s="39" t="s">
        <v>28</v>
      </c>
      <c r="E240" s="204"/>
      <c r="F240" s="204"/>
      <c r="G240" s="193"/>
      <c r="H240" s="89"/>
      <c r="I240" s="193"/>
      <c r="J240" s="15">
        <v>26040000</v>
      </c>
      <c r="K240" s="99">
        <v>43435000</v>
      </c>
      <c r="L240" s="13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53">
        <f>AB240</f>
        <v>86.538505813284218</v>
      </c>
      <c r="Z240" s="53">
        <f>AD240</f>
        <v>86.538505813284218</v>
      </c>
      <c r="AA240" s="22">
        <v>37588000</v>
      </c>
      <c r="AB240" s="19">
        <f>AA240/K240*100</f>
        <v>86.538505813284218</v>
      </c>
      <c r="AC240" s="22">
        <f>AA240</f>
        <v>37588000</v>
      </c>
      <c r="AD240" s="19">
        <f>AC240/K240*100</f>
        <v>86.538505813284218</v>
      </c>
    </row>
    <row r="241" spans="1:31">
      <c r="B241" s="13">
        <v>2</v>
      </c>
      <c r="C241" s="17" t="s">
        <v>207</v>
      </c>
      <c r="D241" s="39" t="s">
        <v>30</v>
      </c>
      <c r="E241" s="204"/>
      <c r="F241" s="204"/>
      <c r="G241" s="193"/>
      <c r="H241" s="89"/>
      <c r="I241" s="193"/>
      <c r="J241" s="15">
        <v>9940000</v>
      </c>
      <c r="K241" s="99">
        <v>11940000</v>
      </c>
      <c r="L241" s="13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53">
        <f>AB241</f>
        <v>100</v>
      </c>
      <c r="Z241" s="53">
        <f>AD241</f>
        <v>100</v>
      </c>
      <c r="AA241" s="22">
        <v>11940000</v>
      </c>
      <c r="AB241" s="19">
        <f t="shared" ref="AB241:AB243" si="55">AA241/K241*100</f>
        <v>100</v>
      </c>
      <c r="AC241" s="22">
        <f>AA241</f>
        <v>11940000</v>
      </c>
      <c r="AD241" s="19">
        <f t="shared" ref="AD241:AD243" si="56">AC241/K241*100</f>
        <v>100</v>
      </c>
    </row>
    <row r="242" spans="1:31">
      <c r="B242" s="13">
        <v>3</v>
      </c>
      <c r="C242" s="17" t="s">
        <v>208</v>
      </c>
      <c r="D242" s="39" t="s">
        <v>32</v>
      </c>
      <c r="E242" s="204"/>
      <c r="F242" s="204"/>
      <c r="G242" s="193"/>
      <c r="H242" s="89"/>
      <c r="I242" s="193"/>
      <c r="J242" s="15">
        <v>5520000</v>
      </c>
      <c r="K242" s="99">
        <v>3130000</v>
      </c>
      <c r="L242" s="13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53">
        <f>AB242</f>
        <v>83.817891373801913</v>
      </c>
      <c r="Z242" s="53">
        <f>AD242</f>
        <v>83.817891373801913</v>
      </c>
      <c r="AA242" s="22">
        <v>2623500</v>
      </c>
      <c r="AB242" s="19">
        <f t="shared" si="55"/>
        <v>83.817891373801913</v>
      </c>
      <c r="AC242" s="22">
        <f>AA242</f>
        <v>2623500</v>
      </c>
      <c r="AD242" s="19">
        <f t="shared" si="56"/>
        <v>83.817891373801913</v>
      </c>
    </row>
    <row r="243" spans="1:31">
      <c r="B243" s="326">
        <f>B242+1</f>
        <v>4</v>
      </c>
      <c r="C243" s="33" t="s">
        <v>209</v>
      </c>
      <c r="D243" s="306" t="s">
        <v>34</v>
      </c>
      <c r="E243" s="507"/>
      <c r="F243" s="489"/>
      <c r="G243" s="240"/>
      <c r="H243" s="186"/>
      <c r="I243" s="240"/>
      <c r="J243" s="15">
        <v>10500000</v>
      </c>
      <c r="K243" s="99">
        <v>10500000</v>
      </c>
      <c r="L243" s="32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56">
        <f>AB243</f>
        <v>100</v>
      </c>
      <c r="Z243" s="56">
        <f>AD243</f>
        <v>100</v>
      </c>
      <c r="AA243" s="325">
        <f>5000000+4000000+1500000</f>
        <v>10500000</v>
      </c>
      <c r="AB243" s="19">
        <f t="shared" si="55"/>
        <v>100</v>
      </c>
      <c r="AC243" s="325">
        <f>AA243</f>
        <v>10500000</v>
      </c>
      <c r="AD243" s="19">
        <f t="shared" si="56"/>
        <v>100</v>
      </c>
    </row>
    <row r="244" spans="1:31">
      <c r="B244" s="27">
        <v>19</v>
      </c>
      <c r="C244" s="878" t="s">
        <v>1518</v>
      </c>
      <c r="D244" s="879"/>
      <c r="E244" s="483"/>
      <c r="F244" s="483">
        <v>4</v>
      </c>
      <c r="G244" s="468"/>
      <c r="H244" s="526"/>
      <c r="I244" s="468"/>
      <c r="J244" s="315">
        <f>SUM(J240:J243)</f>
        <v>52000000</v>
      </c>
      <c r="K244" s="315">
        <f>SUM(K240:K243)</f>
        <v>69005000</v>
      </c>
      <c r="L244" s="37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20">
        <f>SUM(Y240:Y243)/4</f>
        <v>92.589099296771536</v>
      </c>
      <c r="Z244" s="320">
        <f>SUM(Z240:Z243)/4</f>
        <v>92.589099296771536</v>
      </c>
      <c r="AA244" s="315">
        <f>SUM(AA240:AA243)</f>
        <v>62651500</v>
      </c>
      <c r="AB244" s="311">
        <f>SUM(AB240:AB243)/4</f>
        <v>92.589099296771536</v>
      </c>
      <c r="AC244" s="315">
        <f>SUM(AC240:AC243)</f>
        <v>62651500</v>
      </c>
      <c r="AD244" s="311">
        <f>SUM(AD240:AD243)/4</f>
        <v>92.589099296771536</v>
      </c>
    </row>
    <row r="245" spans="1:31">
      <c r="B245" s="309"/>
      <c r="C245" s="10" t="s">
        <v>1519</v>
      </c>
      <c r="D245" s="299" t="s">
        <v>2102</v>
      </c>
      <c r="E245" s="506"/>
      <c r="F245" s="506"/>
      <c r="G245" s="479"/>
      <c r="H245" s="575"/>
      <c r="I245" s="479"/>
      <c r="J245" s="12"/>
      <c r="K245" s="12"/>
      <c r="L245" s="296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69"/>
    </row>
    <row r="246" spans="1:31" s="69" customFormat="1">
      <c r="A246" s="1"/>
      <c r="B246" s="13">
        <v>1</v>
      </c>
      <c r="C246" s="17" t="s">
        <v>206</v>
      </c>
      <c r="D246" s="39" t="s">
        <v>28</v>
      </c>
      <c r="E246" s="204"/>
      <c r="F246" s="204"/>
      <c r="G246" s="193"/>
      <c r="H246" s="89"/>
      <c r="I246" s="193"/>
      <c r="J246" s="15">
        <v>23074000</v>
      </c>
      <c r="K246" s="99">
        <v>38734000</v>
      </c>
      <c r="L246" s="13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53">
        <f>AB246</f>
        <v>99.933340217896429</v>
      </c>
      <c r="Z246" s="53">
        <f>AD246</f>
        <v>99.933340217896429</v>
      </c>
      <c r="AA246" s="53">
        <v>38708180</v>
      </c>
      <c r="AB246" s="19">
        <f>AA246/K246*100</f>
        <v>99.933340217896429</v>
      </c>
      <c r="AC246" s="53">
        <f>AA246</f>
        <v>38708180</v>
      </c>
      <c r="AD246" s="19">
        <f>AC246/K246*100</f>
        <v>99.933340217896429</v>
      </c>
      <c r="AE246" s="2"/>
    </row>
    <row r="247" spans="1:31">
      <c r="B247" s="13">
        <v>2</v>
      </c>
      <c r="C247" s="17" t="s">
        <v>207</v>
      </c>
      <c r="D247" s="39" t="s">
        <v>30</v>
      </c>
      <c r="E247" s="204"/>
      <c r="F247" s="204"/>
      <c r="G247" s="193"/>
      <c r="H247" s="89"/>
      <c r="I247" s="193"/>
      <c r="J247" s="15">
        <v>13160000</v>
      </c>
      <c r="K247" s="99">
        <v>13160000</v>
      </c>
      <c r="L247" s="13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53">
        <f>AB247</f>
        <v>91.1854103343465</v>
      </c>
      <c r="Z247" s="53">
        <f>AD247</f>
        <v>91.1854103343465</v>
      </c>
      <c r="AA247" s="53">
        <v>12000000</v>
      </c>
      <c r="AB247" s="19">
        <f t="shared" ref="AB247:AB249" si="57">AA247/K247*100</f>
        <v>91.1854103343465</v>
      </c>
      <c r="AC247" s="53">
        <f>AA247</f>
        <v>12000000</v>
      </c>
      <c r="AD247" s="19">
        <f t="shared" ref="AD247:AD249" si="58">AC247/K247*100</f>
        <v>91.1854103343465</v>
      </c>
    </row>
    <row r="248" spans="1:31">
      <c r="B248" s="13">
        <f>B247+1</f>
        <v>3</v>
      </c>
      <c r="C248" s="17" t="s">
        <v>208</v>
      </c>
      <c r="D248" s="39" t="s">
        <v>32</v>
      </c>
      <c r="E248" s="204"/>
      <c r="F248" s="204"/>
      <c r="G248" s="193"/>
      <c r="H248" s="89"/>
      <c r="I248" s="193"/>
      <c r="J248" s="15">
        <v>8666000</v>
      </c>
      <c r="K248" s="99">
        <v>8666000</v>
      </c>
      <c r="L248" s="13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53">
        <f>AB248</f>
        <v>99.74613431802446</v>
      </c>
      <c r="Z248" s="53">
        <f>AD248</f>
        <v>99.74613431802446</v>
      </c>
      <c r="AA248" s="53">
        <v>8644000</v>
      </c>
      <c r="AB248" s="19">
        <f t="shared" si="57"/>
        <v>99.74613431802446</v>
      </c>
      <c r="AC248" s="53">
        <f>AA248</f>
        <v>8644000</v>
      </c>
      <c r="AD248" s="19">
        <f t="shared" si="58"/>
        <v>99.74613431802446</v>
      </c>
    </row>
    <row r="249" spans="1:31">
      <c r="B249" s="32">
        <f>B248+1</f>
        <v>4</v>
      </c>
      <c r="C249" s="33" t="s">
        <v>209</v>
      </c>
      <c r="D249" s="306" t="s">
        <v>34</v>
      </c>
      <c r="E249" s="507"/>
      <c r="F249" s="489"/>
      <c r="G249" s="240"/>
      <c r="H249" s="186"/>
      <c r="I249" s="240"/>
      <c r="J249" s="15">
        <v>7100000</v>
      </c>
      <c r="K249" s="99">
        <v>6270000</v>
      </c>
      <c r="L249" s="32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56">
        <f>AB249</f>
        <v>100</v>
      </c>
      <c r="Z249" s="56">
        <f>AD249</f>
        <v>100</v>
      </c>
      <c r="AA249" s="56">
        <v>6270000</v>
      </c>
      <c r="AB249" s="19">
        <f t="shared" si="57"/>
        <v>100</v>
      </c>
      <c r="AC249" s="56">
        <f>AA249</f>
        <v>6270000</v>
      </c>
      <c r="AD249" s="19">
        <f t="shared" si="58"/>
        <v>100</v>
      </c>
    </row>
    <row r="250" spans="1:31">
      <c r="B250" s="27">
        <v>20</v>
      </c>
      <c r="C250" s="878" t="s">
        <v>1520</v>
      </c>
      <c r="D250" s="879"/>
      <c r="E250" s="483"/>
      <c r="F250" s="483">
        <v>4</v>
      </c>
      <c r="G250" s="468"/>
      <c r="H250" s="526"/>
      <c r="I250" s="468"/>
      <c r="J250" s="315">
        <f>SUM(J246:J249)</f>
        <v>52000000</v>
      </c>
      <c r="K250" s="315">
        <f>SUM(K246:K249)</f>
        <v>66830000</v>
      </c>
      <c r="L250" s="37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20">
        <f>SUM(Y246:Y249)/4</f>
        <v>97.716221217566854</v>
      </c>
      <c r="Z250" s="320">
        <f>SUM(Z246:Z249)/4</f>
        <v>97.716221217566854</v>
      </c>
      <c r="AA250" s="320">
        <f>SUM(AA246:AA249)</f>
        <v>65622180</v>
      </c>
      <c r="AB250" s="320">
        <f>SUM(AB246:AB249)/4</f>
        <v>97.716221217566854</v>
      </c>
      <c r="AC250" s="320">
        <f>SUM(AC246:AC249)</f>
        <v>65622180</v>
      </c>
      <c r="AD250" s="311">
        <f>SUM(AD246:AD249)/4</f>
        <v>97.716221217566854</v>
      </c>
    </row>
    <row r="251" spans="1:31">
      <c r="B251" s="13"/>
      <c r="C251" s="17" t="s">
        <v>1521</v>
      </c>
      <c r="D251" s="70" t="s">
        <v>1522</v>
      </c>
      <c r="E251" s="204"/>
      <c r="F251" s="204"/>
      <c r="G251" s="193"/>
      <c r="H251" s="89"/>
      <c r="I251" s="193"/>
      <c r="J251" s="25"/>
      <c r="K251" s="25"/>
      <c r="L251" s="13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71"/>
    </row>
    <row r="252" spans="1:31" s="71" customFormat="1">
      <c r="A252" s="72"/>
      <c r="B252" s="13">
        <v>1</v>
      </c>
      <c r="C252" s="17" t="s">
        <v>206</v>
      </c>
      <c r="D252" s="39" t="s">
        <v>28</v>
      </c>
      <c r="E252" s="204"/>
      <c r="F252" s="204"/>
      <c r="G252" s="193"/>
      <c r="H252" s="89"/>
      <c r="I252" s="193"/>
      <c r="J252" s="15">
        <v>63111000</v>
      </c>
      <c r="K252" s="99">
        <v>68674000</v>
      </c>
      <c r="L252" s="13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53">
        <v>100</v>
      </c>
      <c r="Z252" s="53">
        <f>AD252</f>
        <v>99.994175379328425</v>
      </c>
      <c r="AA252" s="22">
        <v>68670000</v>
      </c>
      <c r="AB252" s="19">
        <f>AA252/K252*100</f>
        <v>99.994175379328425</v>
      </c>
      <c r="AC252" s="22">
        <f>AA252</f>
        <v>68670000</v>
      </c>
      <c r="AD252" s="19">
        <f>AC252/K252*100</f>
        <v>99.994175379328425</v>
      </c>
      <c r="AE252" s="2"/>
    </row>
    <row r="253" spans="1:31">
      <c r="B253" s="13">
        <f>B252+1</f>
        <v>2</v>
      </c>
      <c r="C253" s="17" t="s">
        <v>207</v>
      </c>
      <c r="D253" s="39" t="s">
        <v>30</v>
      </c>
      <c r="E253" s="204"/>
      <c r="F253" s="204"/>
      <c r="G253" s="193"/>
      <c r="H253" s="89"/>
      <c r="I253" s="193"/>
      <c r="J253" s="15">
        <v>2500000</v>
      </c>
      <c r="K253" s="99">
        <v>2500000</v>
      </c>
      <c r="L253" s="13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53">
        <f>AB253</f>
        <v>100</v>
      </c>
      <c r="Z253" s="53">
        <f>AD253</f>
        <v>100</v>
      </c>
      <c r="AA253" s="22">
        <v>2500000</v>
      </c>
      <c r="AB253" s="19">
        <f t="shared" ref="AB253" si="59">AA253/K253*100</f>
        <v>100</v>
      </c>
      <c r="AC253" s="53">
        <f>AA253</f>
        <v>2500000</v>
      </c>
      <c r="AD253" s="19">
        <f t="shared" ref="AD253:AD255" si="60">AC253/K253*100</f>
        <v>100</v>
      </c>
    </row>
    <row r="254" spans="1:31">
      <c r="B254" s="13">
        <f>B253+1</f>
        <v>3</v>
      </c>
      <c r="C254" s="17" t="s">
        <v>208</v>
      </c>
      <c r="D254" s="39" t="s">
        <v>32</v>
      </c>
      <c r="E254" s="489"/>
      <c r="F254" s="489"/>
      <c r="G254" s="240"/>
      <c r="H254" s="186"/>
      <c r="I254" s="240"/>
      <c r="J254" s="15">
        <v>11389000</v>
      </c>
      <c r="K254" s="99">
        <v>11389000</v>
      </c>
      <c r="L254" s="45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53">
        <v>100</v>
      </c>
      <c r="Z254" s="53">
        <f t="shared" ref="Z254:Z255" si="61">AD254</f>
        <v>100</v>
      </c>
      <c r="AA254" s="73">
        <v>11389000</v>
      </c>
      <c r="AB254" s="19">
        <f>AA254/K255*100</f>
        <v>5.7231155778894474</v>
      </c>
      <c r="AC254" s="73">
        <f>AA254</f>
        <v>11389000</v>
      </c>
      <c r="AD254" s="19">
        <f t="shared" si="60"/>
        <v>100</v>
      </c>
    </row>
    <row r="255" spans="1:31">
      <c r="B255" s="13">
        <f>B254+1</f>
        <v>4</v>
      </c>
      <c r="C255" s="17" t="s">
        <v>2307</v>
      </c>
      <c r="D255" s="174" t="s">
        <v>34</v>
      </c>
      <c r="E255" s="347"/>
      <c r="F255" s="347"/>
      <c r="G255" s="498"/>
      <c r="H255" s="105"/>
      <c r="I255" s="498"/>
      <c r="J255" s="598"/>
      <c r="K255" s="99">
        <v>199000000</v>
      </c>
      <c r="L255" s="47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3">
        <v>100</v>
      </c>
      <c r="Z255" s="53">
        <f t="shared" si="61"/>
        <v>99.962311557788937</v>
      </c>
      <c r="AA255" s="112">
        <v>198925000</v>
      </c>
      <c r="AB255" s="19">
        <f>AA255/K256*100</f>
        <v>70.650262996203338</v>
      </c>
      <c r="AC255" s="73">
        <f>AA255</f>
        <v>198925000</v>
      </c>
      <c r="AD255" s="19">
        <f t="shared" si="60"/>
        <v>99.962311557788937</v>
      </c>
    </row>
    <row r="256" spans="1:31">
      <c r="B256" s="762">
        <v>21</v>
      </c>
      <c r="C256" s="895" t="s">
        <v>1523</v>
      </c>
      <c r="D256" s="896"/>
      <c r="E256" s="763"/>
      <c r="F256" s="763">
        <v>4</v>
      </c>
      <c r="G256" s="764"/>
      <c r="H256" s="765"/>
      <c r="I256" s="764"/>
      <c r="J256" s="766">
        <f>SUM(J252:J254)</f>
        <v>77000000</v>
      </c>
      <c r="K256" s="767">
        <f>SUM(K252:K255)</f>
        <v>281563000</v>
      </c>
      <c r="L256" s="768"/>
      <c r="M256" s="769"/>
      <c r="N256" s="769"/>
      <c r="O256" s="769"/>
      <c r="P256" s="769"/>
      <c r="Q256" s="769"/>
      <c r="R256" s="769"/>
      <c r="S256" s="769"/>
      <c r="T256" s="769"/>
      <c r="U256" s="769"/>
      <c r="V256" s="769"/>
      <c r="W256" s="769"/>
      <c r="X256" s="769"/>
      <c r="Y256" s="770">
        <f>SUM(Y252:Y255)/4</f>
        <v>100</v>
      </c>
      <c r="Z256" s="770">
        <f>SUM(Z252:Z255)/4</f>
        <v>99.989121734279351</v>
      </c>
      <c r="AA256" s="771">
        <f>SUM(AA252:AA255)</f>
        <v>281484000</v>
      </c>
      <c r="AB256" s="770">
        <f>SUM(AB252:AB255)/4</f>
        <v>69.091888488355295</v>
      </c>
      <c r="AC256" s="771">
        <f>SUM(AC252:AC254)</f>
        <v>82559000</v>
      </c>
      <c r="AD256" s="770">
        <f>SUM(AD252:AD255)/4</f>
        <v>99.989121734279351</v>
      </c>
    </row>
    <row r="257" spans="2:30">
      <c r="B257" s="66"/>
      <c r="C257" s="63" t="s">
        <v>1524</v>
      </c>
      <c r="D257" s="64" t="s">
        <v>1525</v>
      </c>
      <c r="E257" s="484"/>
      <c r="F257" s="484"/>
      <c r="G257" s="472"/>
      <c r="H257" s="242"/>
      <c r="I257" s="472"/>
      <c r="J257" s="65"/>
      <c r="K257" s="65"/>
      <c r="L257" s="66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2:30">
      <c r="B258" s="57">
        <v>1</v>
      </c>
      <c r="C258" s="17" t="s">
        <v>206</v>
      </c>
      <c r="D258" s="327" t="s">
        <v>28</v>
      </c>
      <c r="E258" s="204"/>
      <c r="F258" s="204"/>
      <c r="G258" s="193"/>
      <c r="H258" s="89"/>
      <c r="I258" s="193"/>
      <c r="J258" s="15">
        <v>30000000</v>
      </c>
      <c r="K258" s="99">
        <v>25349000</v>
      </c>
      <c r="L258" s="13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53">
        <f>AB258</f>
        <v>94.8325377726932</v>
      </c>
      <c r="Z258" s="53">
        <f>AD258</f>
        <v>94.8325377726932</v>
      </c>
      <c r="AA258" s="22">
        <v>24039100</v>
      </c>
      <c r="AB258" s="19">
        <f>AA258/K258*100</f>
        <v>94.8325377726932</v>
      </c>
      <c r="AC258" s="53">
        <f>AA258</f>
        <v>24039100</v>
      </c>
      <c r="AD258" s="19">
        <f>AC258/K258*100</f>
        <v>94.8325377726932</v>
      </c>
    </row>
    <row r="259" spans="2:30">
      <c r="B259" s="57">
        <v>2</v>
      </c>
      <c r="C259" s="17" t="s">
        <v>207</v>
      </c>
      <c r="D259" s="327" t="s">
        <v>30</v>
      </c>
      <c r="E259" s="204"/>
      <c r="F259" s="204"/>
      <c r="G259" s="193"/>
      <c r="H259" s="89"/>
      <c r="I259" s="193"/>
      <c r="J259" s="15">
        <v>4680000</v>
      </c>
      <c r="K259" s="99">
        <v>5760000</v>
      </c>
      <c r="L259" s="13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53">
        <f>AB259</f>
        <v>66.145833333333343</v>
      </c>
      <c r="Z259" s="53">
        <f>AD259</f>
        <v>66.145833333333343</v>
      </c>
      <c r="AA259" s="22">
        <v>3810000</v>
      </c>
      <c r="AB259" s="19">
        <f t="shared" ref="AB259:AB262" si="62">AA259/K259*100</f>
        <v>66.145833333333343</v>
      </c>
      <c r="AC259" s="53">
        <f>AA259</f>
        <v>3810000</v>
      </c>
      <c r="AD259" s="19">
        <f t="shared" ref="AD259:AD262" si="63">AC259/K259*100</f>
        <v>66.145833333333343</v>
      </c>
    </row>
    <row r="260" spans="2:30">
      <c r="B260" s="57">
        <v>3</v>
      </c>
      <c r="C260" s="58" t="s">
        <v>205</v>
      </c>
      <c r="D260" s="328" t="s">
        <v>34</v>
      </c>
      <c r="E260" s="489"/>
      <c r="F260" s="489"/>
      <c r="G260" s="240"/>
      <c r="H260" s="186"/>
      <c r="I260" s="240"/>
      <c r="J260" s="15">
        <v>42320000</v>
      </c>
      <c r="K260" s="99">
        <v>50171000</v>
      </c>
      <c r="L260" s="45"/>
      <c r="M260" s="101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55">
        <f>AB260</f>
        <v>99.649199736899803</v>
      </c>
      <c r="Z260" s="55">
        <f>AD260</f>
        <v>99.649199736899803</v>
      </c>
      <c r="AA260" s="73">
        <v>49995000</v>
      </c>
      <c r="AB260" s="19">
        <f t="shared" si="62"/>
        <v>99.649199736899803</v>
      </c>
      <c r="AC260" s="55">
        <f>AA260</f>
        <v>49995000</v>
      </c>
      <c r="AD260" s="19">
        <f t="shared" si="63"/>
        <v>99.649199736899803</v>
      </c>
    </row>
    <row r="261" spans="2:30" ht="25.5">
      <c r="B261" s="57">
        <v>4</v>
      </c>
      <c r="C261" s="172" t="s">
        <v>1526</v>
      </c>
      <c r="D261" s="733" t="s">
        <v>1527</v>
      </c>
      <c r="E261" s="489"/>
      <c r="F261" s="489"/>
      <c r="G261" s="240"/>
      <c r="H261" s="186"/>
      <c r="I261" s="240"/>
      <c r="J261" s="79">
        <v>200000000</v>
      </c>
      <c r="K261" s="99">
        <v>200000000</v>
      </c>
      <c r="L261" s="45"/>
      <c r="M261" s="832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55">
        <f>AB261</f>
        <v>96</v>
      </c>
      <c r="Z261" s="55">
        <f>AD261</f>
        <v>96</v>
      </c>
      <c r="AA261" s="325">
        <v>192000000</v>
      </c>
      <c r="AB261" s="19">
        <f t="shared" si="62"/>
        <v>96</v>
      </c>
      <c r="AC261" s="56">
        <f>AA261</f>
        <v>192000000</v>
      </c>
      <c r="AD261" s="19">
        <f t="shared" si="63"/>
        <v>96</v>
      </c>
    </row>
    <row r="262" spans="2:30">
      <c r="B262" s="57">
        <v>5</v>
      </c>
      <c r="C262" s="329" t="s">
        <v>2308</v>
      </c>
      <c r="D262" s="58" t="s">
        <v>2309</v>
      </c>
      <c r="E262" s="507"/>
      <c r="F262" s="507"/>
      <c r="G262" s="476"/>
      <c r="H262" s="576"/>
      <c r="I262" s="476"/>
      <c r="J262" s="26"/>
      <c r="K262" s="99">
        <v>190420000</v>
      </c>
      <c r="L262" s="32"/>
      <c r="M262" s="33"/>
      <c r="N262" s="33"/>
      <c r="O262" s="33"/>
      <c r="P262" s="33"/>
      <c r="Q262" s="33"/>
      <c r="R262" s="51"/>
      <c r="S262" s="51"/>
      <c r="T262" s="51"/>
      <c r="U262" s="51"/>
      <c r="V262" s="51"/>
      <c r="W262" s="51"/>
      <c r="X262" s="51"/>
      <c r="Y262" s="55">
        <f>AB262</f>
        <v>95.691103875643307</v>
      </c>
      <c r="Z262" s="55">
        <f>AD262</f>
        <v>95.691103875643307</v>
      </c>
      <c r="AA262" s="846">
        <v>182215000</v>
      </c>
      <c r="AB262" s="19">
        <f t="shared" si="62"/>
        <v>95.691103875643307</v>
      </c>
      <c r="AC262" s="56">
        <f>AA262</f>
        <v>182215000</v>
      </c>
      <c r="AD262" s="19">
        <f t="shared" si="63"/>
        <v>95.691103875643307</v>
      </c>
    </row>
    <row r="263" spans="2:30">
      <c r="B263" s="27">
        <v>22</v>
      </c>
      <c r="C263" s="882" t="s">
        <v>1528</v>
      </c>
      <c r="D263" s="883"/>
      <c r="E263" s="483"/>
      <c r="F263" s="483">
        <v>5</v>
      </c>
      <c r="G263" s="468"/>
      <c r="H263" s="526"/>
      <c r="I263" s="468"/>
      <c r="J263" s="35">
        <f>SUM(J258:J261)</f>
        <v>277000000</v>
      </c>
      <c r="K263" s="36">
        <f>SUM(K258:K262)</f>
        <v>471700000</v>
      </c>
      <c r="L263" s="37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20">
        <f>SUM(Y258:Y262)/5</f>
        <v>90.463734943713931</v>
      </c>
      <c r="Z263" s="320">
        <f>SUM(Z258:Z262)/5</f>
        <v>90.463734943713931</v>
      </c>
      <c r="AA263" s="320">
        <f>SUM(AA258:AA262)</f>
        <v>452059100</v>
      </c>
      <c r="AB263" s="320">
        <f>SUM(AB258:AB262)/5</f>
        <v>90.463734943713931</v>
      </c>
      <c r="AC263" s="320">
        <f>SUM(AC258:AC262)</f>
        <v>452059100</v>
      </c>
      <c r="AD263" s="320">
        <f>SUM(AD258:AD262)/5</f>
        <v>90.463734943713931</v>
      </c>
    </row>
    <row r="264" spans="2:30">
      <c r="B264" s="296"/>
      <c r="C264" s="10" t="s">
        <v>1529</v>
      </c>
      <c r="D264" s="299" t="s">
        <v>1530</v>
      </c>
      <c r="E264" s="506"/>
      <c r="F264" s="506"/>
      <c r="G264" s="479"/>
      <c r="H264" s="575"/>
      <c r="I264" s="479"/>
      <c r="J264" s="12"/>
      <c r="K264" s="12"/>
      <c r="L264" s="296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 spans="2:30">
      <c r="B265" s="13">
        <v>1</v>
      </c>
      <c r="C265" s="17" t="s">
        <v>206</v>
      </c>
      <c r="D265" s="49" t="s">
        <v>28</v>
      </c>
      <c r="E265" s="204"/>
      <c r="F265" s="204"/>
      <c r="G265" s="193"/>
      <c r="H265" s="89"/>
      <c r="I265" s="193"/>
      <c r="J265" s="15">
        <v>54475000</v>
      </c>
      <c r="K265" s="99">
        <v>35280000</v>
      </c>
      <c r="L265" s="13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53">
        <f>AB265</f>
        <v>96.625683106575963</v>
      </c>
      <c r="Z265" s="53">
        <f>AD265</f>
        <v>96.625683106575963</v>
      </c>
      <c r="AA265" s="22">
        <v>34089541</v>
      </c>
      <c r="AB265" s="19">
        <f>AA265/K265*100</f>
        <v>96.625683106575963</v>
      </c>
      <c r="AC265" s="22">
        <f>AA265</f>
        <v>34089541</v>
      </c>
      <c r="AD265" s="19">
        <f>AC265/K265*100</f>
        <v>96.625683106575963</v>
      </c>
    </row>
    <row r="266" spans="2:30">
      <c r="B266" s="13">
        <v>2</v>
      </c>
      <c r="C266" s="17" t="s">
        <v>207</v>
      </c>
      <c r="D266" s="49" t="s">
        <v>30</v>
      </c>
      <c r="E266" s="204"/>
      <c r="F266" s="204"/>
      <c r="G266" s="193"/>
      <c r="H266" s="89"/>
      <c r="I266" s="193"/>
      <c r="J266" s="15">
        <v>4000000</v>
      </c>
      <c r="K266" s="99">
        <v>8000000</v>
      </c>
      <c r="L266" s="13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53">
        <f>AB266</f>
        <v>69.5</v>
      </c>
      <c r="Z266" s="53">
        <f>AD266</f>
        <v>69.5</v>
      </c>
      <c r="AA266" s="22">
        <v>5560000</v>
      </c>
      <c r="AB266" s="19">
        <f t="shared" ref="AB266:AB268" si="64">AA266/K266*100</f>
        <v>69.5</v>
      </c>
      <c r="AC266" s="22">
        <f>AA266</f>
        <v>5560000</v>
      </c>
      <c r="AD266" s="19">
        <f t="shared" ref="AD266:AD268" si="65">AC266/K266*100</f>
        <v>69.5</v>
      </c>
    </row>
    <row r="267" spans="2:30">
      <c r="B267" s="13">
        <v>3</v>
      </c>
      <c r="C267" s="17" t="s">
        <v>208</v>
      </c>
      <c r="D267" s="21" t="s">
        <v>32</v>
      </c>
      <c r="E267" s="489"/>
      <c r="F267" s="489"/>
      <c r="G267" s="240"/>
      <c r="H267" s="186"/>
      <c r="I267" s="240"/>
      <c r="J267" s="15">
        <v>13525000</v>
      </c>
      <c r="K267" s="99">
        <v>13525000</v>
      </c>
      <c r="L267" s="45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53">
        <f t="shared" ref="Y267:Y268" si="66">AB267</f>
        <v>66.979667282809601</v>
      </c>
      <c r="Z267" s="53">
        <f t="shared" ref="Z267:Z268" si="67">AD267</f>
        <v>66.979667282809601</v>
      </c>
      <c r="AA267" s="22">
        <v>9059000</v>
      </c>
      <c r="AB267" s="19">
        <f t="shared" si="64"/>
        <v>66.979667282809601</v>
      </c>
      <c r="AC267" s="22">
        <f t="shared" ref="AC267:AC269" si="68">AA267</f>
        <v>9059000</v>
      </c>
      <c r="AD267" s="19">
        <f t="shared" si="65"/>
        <v>66.979667282809601</v>
      </c>
    </row>
    <row r="268" spans="2:30">
      <c r="B268" s="13">
        <v>4</v>
      </c>
      <c r="C268" s="50" t="s">
        <v>209</v>
      </c>
      <c r="D268" s="49" t="s">
        <v>34</v>
      </c>
      <c r="E268" s="489"/>
      <c r="F268" s="489"/>
      <c r="G268" s="240"/>
      <c r="H268" s="186"/>
      <c r="I268" s="240"/>
      <c r="J268" s="15">
        <v>5000000</v>
      </c>
      <c r="K268" s="99">
        <v>25200000</v>
      </c>
      <c r="L268" s="45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53">
        <f t="shared" si="66"/>
        <v>97.484126984126988</v>
      </c>
      <c r="Z268" s="53">
        <f t="shared" si="67"/>
        <v>97.484126984126988</v>
      </c>
      <c r="AA268" s="22">
        <v>24566000</v>
      </c>
      <c r="AB268" s="19">
        <f t="shared" si="64"/>
        <v>97.484126984126988</v>
      </c>
      <c r="AC268" s="22">
        <f t="shared" si="68"/>
        <v>24566000</v>
      </c>
      <c r="AD268" s="19">
        <f t="shared" si="65"/>
        <v>97.484126984126988</v>
      </c>
    </row>
    <row r="269" spans="2:30">
      <c r="B269" s="13">
        <v>5</v>
      </c>
      <c r="C269" s="331" t="s">
        <v>1531</v>
      </c>
      <c r="D269" s="21" t="s">
        <v>1532</v>
      </c>
      <c r="E269" s="507"/>
      <c r="F269" s="489"/>
      <c r="G269" s="240"/>
      <c r="H269" s="186"/>
      <c r="I269" s="240"/>
      <c r="J269" s="15">
        <v>50000000</v>
      </c>
      <c r="K269" s="34">
        <v>0</v>
      </c>
      <c r="L269" s="32"/>
      <c r="M269" s="33"/>
      <c r="N269" s="33"/>
      <c r="O269" s="33"/>
      <c r="P269" s="33"/>
      <c r="Q269" s="33"/>
      <c r="R269" s="44"/>
      <c r="S269" s="44"/>
      <c r="T269" s="44"/>
      <c r="U269" s="44"/>
      <c r="V269" s="44"/>
      <c r="W269" s="44"/>
      <c r="X269" s="44"/>
      <c r="Y269" s="53">
        <v>0</v>
      </c>
      <c r="Z269" s="53">
        <v>0</v>
      </c>
      <c r="AA269" s="22"/>
      <c r="AB269" s="19">
        <v>0</v>
      </c>
      <c r="AC269" s="22">
        <f t="shared" si="68"/>
        <v>0</v>
      </c>
      <c r="AD269" s="19">
        <v>0</v>
      </c>
    </row>
    <row r="270" spans="2:30">
      <c r="B270" s="332">
        <v>23</v>
      </c>
      <c r="C270" s="894" t="s">
        <v>1533</v>
      </c>
      <c r="D270" s="883"/>
      <c r="E270" s="483"/>
      <c r="F270" s="483">
        <v>4</v>
      </c>
      <c r="G270" s="468"/>
      <c r="H270" s="526"/>
      <c r="I270" s="468"/>
      <c r="J270" s="35">
        <f>SUM(J265:J269)</f>
        <v>127000000</v>
      </c>
      <c r="K270" s="36">
        <f>SUM(K265:K269)</f>
        <v>82005000</v>
      </c>
      <c r="L270" s="37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20">
        <f>SUM(Y265:Y269)/4</f>
        <v>82.647369343378131</v>
      </c>
      <c r="Z270" s="320">
        <f>SUM(Z265:Z269)/4</f>
        <v>82.647369343378131</v>
      </c>
      <c r="AA270" s="315">
        <f>SUM(AA265:AA269)</f>
        <v>73274541</v>
      </c>
      <c r="AB270" s="320">
        <f>SUM(AB265:AB269)/4</f>
        <v>82.647369343378131</v>
      </c>
      <c r="AC270" s="315">
        <f>SUM(AC265:AC269)</f>
        <v>73274541</v>
      </c>
      <c r="AD270" s="320">
        <f>SUM(AD264:AD269)/4</f>
        <v>82.647369343378131</v>
      </c>
    </row>
    <row r="271" spans="2:30">
      <c r="B271" s="296"/>
      <c r="C271" s="10" t="s">
        <v>1534</v>
      </c>
      <c r="D271" s="299" t="s">
        <v>1535</v>
      </c>
      <c r="E271" s="506"/>
      <c r="F271" s="506"/>
      <c r="G271" s="479"/>
      <c r="H271" s="575"/>
      <c r="I271" s="479"/>
      <c r="J271" s="12"/>
      <c r="K271" s="12"/>
      <c r="L271" s="296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 spans="2:30">
      <c r="B272" s="13">
        <v>1</v>
      </c>
      <c r="C272" s="17" t="s">
        <v>206</v>
      </c>
      <c r="D272" s="39" t="s">
        <v>28</v>
      </c>
      <c r="E272" s="204"/>
      <c r="F272" s="204"/>
      <c r="G272" s="193"/>
      <c r="H272" s="89"/>
      <c r="I272" s="193"/>
      <c r="J272" s="15">
        <v>42800000</v>
      </c>
      <c r="K272" s="99">
        <v>44155000</v>
      </c>
      <c r="L272" s="13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53">
        <v>100</v>
      </c>
      <c r="Z272" s="53">
        <v>100</v>
      </c>
      <c r="AA272" s="53">
        <v>44138130</v>
      </c>
      <c r="AB272" s="19">
        <f>AA272/K272*100</f>
        <v>99.961793681349789</v>
      </c>
      <c r="AC272" s="53">
        <f>AA272</f>
        <v>44138130</v>
      </c>
      <c r="AD272" s="19">
        <f>AC272/K272*100</f>
        <v>99.961793681349789</v>
      </c>
    </row>
    <row r="273" spans="2:30">
      <c r="B273" s="13">
        <v>2</v>
      </c>
      <c r="C273" s="17" t="s">
        <v>207</v>
      </c>
      <c r="D273" s="39" t="s">
        <v>30</v>
      </c>
      <c r="E273" s="204"/>
      <c r="F273" s="204"/>
      <c r="G273" s="193"/>
      <c r="H273" s="89"/>
      <c r="I273" s="193"/>
      <c r="J273" s="15">
        <v>4200000</v>
      </c>
      <c r="K273" s="99">
        <v>5250000</v>
      </c>
      <c r="L273" s="13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53">
        <f t="shared" ref="Y273:Y274" si="69">AB273</f>
        <v>100</v>
      </c>
      <c r="Z273" s="53">
        <f t="shared" ref="Z273:Z274" si="70">AD273</f>
        <v>100</v>
      </c>
      <c r="AA273" s="53">
        <v>5250000</v>
      </c>
      <c r="AB273" s="19">
        <f t="shared" ref="AB273:AB274" si="71">AA273/K273*100</f>
        <v>100</v>
      </c>
      <c r="AC273" s="53">
        <f>AA273</f>
        <v>5250000</v>
      </c>
      <c r="AD273" s="19">
        <f t="shared" ref="AD273:AD274" si="72">AC273/K273*100</f>
        <v>100</v>
      </c>
    </row>
    <row r="274" spans="2:30">
      <c r="B274" s="13">
        <v>3</v>
      </c>
      <c r="C274" s="50" t="s">
        <v>209</v>
      </c>
      <c r="D274" s="333" t="s">
        <v>34</v>
      </c>
      <c r="E274" s="489"/>
      <c r="F274" s="489"/>
      <c r="G274" s="240"/>
      <c r="H274" s="186"/>
      <c r="I274" s="240"/>
      <c r="J274" s="15">
        <v>30000000</v>
      </c>
      <c r="K274" s="99">
        <v>32600000</v>
      </c>
      <c r="L274" s="45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53">
        <f t="shared" si="69"/>
        <v>100</v>
      </c>
      <c r="Z274" s="53">
        <f t="shared" si="70"/>
        <v>100</v>
      </c>
      <c r="AA274" s="53">
        <v>32600000</v>
      </c>
      <c r="AB274" s="19">
        <f t="shared" si="71"/>
        <v>100</v>
      </c>
      <c r="AC274" s="53">
        <f>AA274</f>
        <v>32600000</v>
      </c>
      <c r="AD274" s="19">
        <f t="shared" si="72"/>
        <v>100</v>
      </c>
    </row>
    <row r="275" spans="2:30">
      <c r="B275" s="27">
        <v>24</v>
      </c>
      <c r="C275" s="893" t="s">
        <v>1536</v>
      </c>
      <c r="D275" s="883"/>
      <c r="E275" s="483"/>
      <c r="F275" s="483">
        <v>3</v>
      </c>
      <c r="G275" s="468"/>
      <c r="H275" s="526"/>
      <c r="I275" s="468"/>
      <c r="J275" s="35">
        <f>SUM(J272:J274)</f>
        <v>77000000</v>
      </c>
      <c r="K275" s="36">
        <f>SUM(K272:K274)</f>
        <v>82005000</v>
      </c>
      <c r="L275" s="37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1">
        <f>SUM(Y272:Y274)/3</f>
        <v>100</v>
      </c>
      <c r="Z275" s="31">
        <f>SUM(Z272:Z274)/3</f>
        <v>100</v>
      </c>
      <c r="AA275" s="31">
        <f>SUM(AA272:AA274)</f>
        <v>81988130</v>
      </c>
      <c r="AB275" s="31">
        <f>SUM(AB272:AB274)/3</f>
        <v>99.98726456044993</v>
      </c>
      <c r="AC275" s="31">
        <f>SUM(AC272:AC274)</f>
        <v>81988130</v>
      </c>
      <c r="AD275" s="31">
        <f>SUM(AD272:AD274)/3</f>
        <v>99.98726456044993</v>
      </c>
    </row>
    <row r="276" spans="2:30">
      <c r="B276" s="66"/>
      <c r="C276" s="63" t="s">
        <v>1537</v>
      </c>
      <c r="D276" s="64" t="s">
        <v>1538</v>
      </c>
      <c r="E276" s="484"/>
      <c r="F276" s="484"/>
      <c r="G276" s="472"/>
      <c r="H276" s="242"/>
      <c r="I276" s="472"/>
      <c r="J276" s="65"/>
      <c r="K276" s="65"/>
      <c r="L276" s="66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2:30">
      <c r="B277" s="13">
        <v>1</v>
      </c>
      <c r="C277" s="74" t="s">
        <v>203</v>
      </c>
      <c r="D277" s="74" t="s">
        <v>28</v>
      </c>
      <c r="E277" s="204"/>
      <c r="F277" s="204"/>
      <c r="G277" s="193"/>
      <c r="H277" s="89"/>
      <c r="I277" s="193"/>
      <c r="J277" s="15">
        <v>49250000</v>
      </c>
      <c r="K277" s="99">
        <v>47255000</v>
      </c>
      <c r="L277" s="13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53">
        <f>AB277</f>
        <v>79.72172256904031</v>
      </c>
      <c r="Z277" s="53">
        <f>AD277</f>
        <v>79.72172256904031</v>
      </c>
      <c r="AA277" s="22">
        <v>37672500</v>
      </c>
      <c r="AB277" s="19">
        <f>AA277/K277*100</f>
        <v>79.72172256904031</v>
      </c>
      <c r="AC277" s="53">
        <f>AA277</f>
        <v>37672500</v>
      </c>
      <c r="AD277" s="19">
        <f>AC277/K277*100</f>
        <v>79.72172256904031</v>
      </c>
    </row>
    <row r="278" spans="2:30">
      <c r="B278" s="13">
        <v>2</v>
      </c>
      <c r="C278" s="74" t="s">
        <v>210</v>
      </c>
      <c r="D278" s="74" t="s">
        <v>30</v>
      </c>
      <c r="E278" s="204"/>
      <c r="F278" s="204"/>
      <c r="G278" s="193"/>
      <c r="H278" s="89"/>
      <c r="I278" s="193"/>
      <c r="J278" s="15">
        <v>1250000</v>
      </c>
      <c r="K278" s="99">
        <v>1250000</v>
      </c>
      <c r="L278" s="13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53">
        <f t="shared" ref="Y278:Y280" si="73">AB278</f>
        <v>100</v>
      </c>
      <c r="Z278" s="53">
        <f t="shared" ref="Z278:Z280" si="74">AD278</f>
        <v>100</v>
      </c>
      <c r="AA278" s="22">
        <v>1250000</v>
      </c>
      <c r="AB278" s="19">
        <f t="shared" ref="AB278:AB280" si="75">AA278/K278*100</f>
        <v>100</v>
      </c>
      <c r="AC278" s="53">
        <f t="shared" ref="AC278:AC280" si="76">AA278</f>
        <v>1250000</v>
      </c>
      <c r="AD278" s="19">
        <f t="shared" ref="AD278:AD280" si="77">AC278/K278*100</f>
        <v>100</v>
      </c>
    </row>
    <row r="279" spans="2:30">
      <c r="B279" s="13">
        <v>3</v>
      </c>
      <c r="C279" s="74" t="s">
        <v>204</v>
      </c>
      <c r="D279" s="74" t="s">
        <v>32</v>
      </c>
      <c r="E279" s="204"/>
      <c r="F279" s="204"/>
      <c r="G279" s="193"/>
      <c r="H279" s="89"/>
      <c r="I279" s="193"/>
      <c r="J279" s="15">
        <v>12500000</v>
      </c>
      <c r="K279" s="99">
        <v>12500000</v>
      </c>
      <c r="L279" s="13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53">
        <f t="shared" si="73"/>
        <v>100</v>
      </c>
      <c r="Z279" s="53">
        <f t="shared" si="74"/>
        <v>100</v>
      </c>
      <c r="AA279" s="22">
        <v>12500000</v>
      </c>
      <c r="AB279" s="19">
        <f t="shared" si="75"/>
        <v>100</v>
      </c>
      <c r="AC279" s="53">
        <f t="shared" si="76"/>
        <v>12500000</v>
      </c>
      <c r="AD279" s="19">
        <f t="shared" si="77"/>
        <v>100</v>
      </c>
    </row>
    <row r="280" spans="2:30">
      <c r="B280" s="13">
        <v>4</v>
      </c>
      <c r="C280" s="2" t="s">
        <v>205</v>
      </c>
      <c r="D280" s="75" t="s">
        <v>34</v>
      </c>
      <c r="E280" s="204"/>
      <c r="F280" s="204"/>
      <c r="G280" s="193"/>
      <c r="H280" s="89"/>
      <c r="I280" s="193"/>
      <c r="J280" s="15">
        <v>14000000</v>
      </c>
      <c r="K280" s="99">
        <v>21000000</v>
      </c>
      <c r="L280" s="13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53">
        <f t="shared" si="73"/>
        <v>100</v>
      </c>
      <c r="Z280" s="53">
        <f t="shared" si="74"/>
        <v>100</v>
      </c>
      <c r="AA280" s="22">
        <v>21000000</v>
      </c>
      <c r="AB280" s="19">
        <f t="shared" si="75"/>
        <v>100</v>
      </c>
      <c r="AC280" s="53">
        <f t="shared" si="76"/>
        <v>21000000</v>
      </c>
      <c r="AD280" s="19">
        <f t="shared" si="77"/>
        <v>100</v>
      </c>
    </row>
    <row r="281" spans="2:30">
      <c r="B281" s="27">
        <v>25</v>
      </c>
      <c r="C281" s="893" t="s">
        <v>1539</v>
      </c>
      <c r="D281" s="883"/>
      <c r="E281" s="483"/>
      <c r="F281" s="483">
        <v>4</v>
      </c>
      <c r="G281" s="468"/>
      <c r="H281" s="526"/>
      <c r="I281" s="468"/>
      <c r="J281" s="35">
        <f>SUM(J277:J280)</f>
        <v>77000000</v>
      </c>
      <c r="K281" s="36">
        <f>SUM(K277:K280)</f>
        <v>82005000</v>
      </c>
      <c r="L281" s="37"/>
      <c r="M281" s="38"/>
      <c r="N281" s="38"/>
      <c r="O281" s="38"/>
      <c r="P281" s="38"/>
      <c r="Q281" s="38"/>
      <c r="R281" s="516"/>
      <c r="S281" s="516"/>
      <c r="T281" s="516"/>
      <c r="U281" s="516"/>
      <c r="V281" s="516"/>
      <c r="W281" s="516"/>
      <c r="X281" s="516"/>
      <c r="Y281" s="76">
        <f t="shared" ref="Y281:AD281" si="78">SUM(Y277:Y280)/4</f>
        <v>94.930430642260077</v>
      </c>
      <c r="Z281" s="76">
        <f t="shared" si="78"/>
        <v>94.930430642260077</v>
      </c>
      <c r="AA281" s="36">
        <f>SUM(AA277:AA280)</f>
        <v>72422500</v>
      </c>
      <c r="AB281" s="76">
        <f t="shared" si="78"/>
        <v>94.930430642260077</v>
      </c>
      <c r="AC281" s="36">
        <f t="shared" si="78"/>
        <v>18105625</v>
      </c>
      <c r="AD281" s="76">
        <f t="shared" si="78"/>
        <v>94.930430642260077</v>
      </c>
    </row>
    <row r="282" spans="2:30">
      <c r="B282" s="296"/>
      <c r="C282" s="334" t="s">
        <v>1540</v>
      </c>
      <c r="D282" s="335" t="s">
        <v>1541</v>
      </c>
      <c r="E282" s="506"/>
      <c r="F282" s="506"/>
      <c r="G282" s="479"/>
      <c r="H282" s="575"/>
      <c r="I282" s="479"/>
      <c r="J282" s="12"/>
      <c r="K282" s="12"/>
      <c r="L282" s="296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spans="2:30">
      <c r="B283" s="13">
        <v>1</v>
      </c>
      <c r="C283" s="74" t="s">
        <v>203</v>
      </c>
      <c r="D283" s="74" t="s">
        <v>28</v>
      </c>
      <c r="E283" s="204"/>
      <c r="F283" s="204"/>
      <c r="G283" s="193"/>
      <c r="H283" s="89"/>
      <c r="I283" s="193"/>
      <c r="J283" s="15">
        <v>28895000</v>
      </c>
      <c r="K283" s="99">
        <v>33500000</v>
      </c>
      <c r="L283" s="13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53">
        <f t="shared" ref="Y283:Y286" si="79">AB283</f>
        <v>92.601492537313433</v>
      </c>
      <c r="Z283" s="53">
        <f t="shared" ref="Z283:Z286" si="80">AD283</f>
        <v>92.601492537313433</v>
      </c>
      <c r="AA283" s="22">
        <v>31021500</v>
      </c>
      <c r="AB283" s="19">
        <f>AA283/K283*100</f>
        <v>92.601492537313433</v>
      </c>
      <c r="AC283" s="22">
        <f>AA283</f>
        <v>31021500</v>
      </c>
      <c r="AD283" s="19">
        <f>AC283/K283*100</f>
        <v>92.601492537313433</v>
      </c>
    </row>
    <row r="284" spans="2:30">
      <c r="B284" s="13">
        <v>2</v>
      </c>
      <c r="C284" s="74" t="s">
        <v>210</v>
      </c>
      <c r="D284" s="74" t="s">
        <v>30</v>
      </c>
      <c r="E284" s="204"/>
      <c r="F284" s="204"/>
      <c r="G284" s="193"/>
      <c r="H284" s="89"/>
      <c r="I284" s="193"/>
      <c r="J284" s="15">
        <v>16100000</v>
      </c>
      <c r="K284" s="99">
        <v>12200000</v>
      </c>
      <c r="L284" s="13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53">
        <f t="shared" si="79"/>
        <v>99.918032786885249</v>
      </c>
      <c r="Z284" s="53">
        <f t="shared" si="80"/>
        <v>99.918032786885249</v>
      </c>
      <c r="AA284" s="22">
        <v>12190000</v>
      </c>
      <c r="AB284" s="19">
        <f t="shared" ref="AB284:AB286" si="81">AA284/K284*100</f>
        <v>99.918032786885249</v>
      </c>
      <c r="AC284" s="22">
        <f t="shared" ref="AC284:AC286" si="82">AA284</f>
        <v>12190000</v>
      </c>
      <c r="AD284" s="19">
        <f t="shared" ref="AD284:AD286" si="83">AC284/K284*100</f>
        <v>99.918032786885249</v>
      </c>
    </row>
    <row r="285" spans="2:30">
      <c r="B285" s="13">
        <v>3</v>
      </c>
      <c r="C285" s="74" t="s">
        <v>204</v>
      </c>
      <c r="D285" s="74" t="s">
        <v>32</v>
      </c>
      <c r="E285" s="204"/>
      <c r="F285" s="204"/>
      <c r="G285" s="193"/>
      <c r="H285" s="89"/>
      <c r="I285" s="193"/>
      <c r="J285" s="15">
        <v>1405000</v>
      </c>
      <c r="K285" s="99">
        <v>0</v>
      </c>
      <c r="L285" s="13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53">
        <f t="shared" si="79"/>
        <v>0</v>
      </c>
      <c r="Z285" s="53">
        <v>0</v>
      </c>
      <c r="AA285" s="22">
        <v>0</v>
      </c>
      <c r="AB285" s="19">
        <v>0</v>
      </c>
      <c r="AC285" s="22">
        <f t="shared" si="82"/>
        <v>0</v>
      </c>
      <c r="AD285" s="19">
        <v>0</v>
      </c>
    </row>
    <row r="286" spans="2:30">
      <c r="B286" s="13">
        <v>4</v>
      </c>
      <c r="C286" s="74" t="s">
        <v>205</v>
      </c>
      <c r="D286" s="74" t="s">
        <v>34</v>
      </c>
      <c r="E286" s="204"/>
      <c r="F286" s="204"/>
      <c r="G286" s="193"/>
      <c r="H286" s="89"/>
      <c r="I286" s="193"/>
      <c r="J286" s="15">
        <v>30600000</v>
      </c>
      <c r="K286" s="99">
        <v>37130000</v>
      </c>
      <c r="L286" s="13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53">
        <f t="shared" si="79"/>
        <v>99.973067600323191</v>
      </c>
      <c r="Z286" s="53">
        <f t="shared" si="80"/>
        <v>99.973067600323191</v>
      </c>
      <c r="AA286" s="22">
        <v>37120000</v>
      </c>
      <c r="AB286" s="19">
        <f t="shared" si="81"/>
        <v>99.973067600323191</v>
      </c>
      <c r="AC286" s="22">
        <f t="shared" si="82"/>
        <v>37120000</v>
      </c>
      <c r="AD286" s="19">
        <f t="shared" si="83"/>
        <v>99.973067600323191</v>
      </c>
    </row>
    <row r="287" spans="2:30">
      <c r="B287" s="332">
        <v>26</v>
      </c>
      <c r="C287" s="894" t="s">
        <v>1542</v>
      </c>
      <c r="D287" s="883"/>
      <c r="E287" s="483"/>
      <c r="F287" s="483">
        <v>3</v>
      </c>
      <c r="G287" s="468"/>
      <c r="H287" s="526"/>
      <c r="I287" s="468"/>
      <c r="J287" s="35">
        <f>SUM(J283:J286)</f>
        <v>77000000</v>
      </c>
      <c r="K287" s="35">
        <f>SUM(K283:K286)</f>
        <v>82830000</v>
      </c>
      <c r="L287" s="37"/>
      <c r="M287" s="38"/>
      <c r="N287" s="38"/>
      <c r="O287" s="38"/>
      <c r="P287" s="38"/>
      <c r="Q287" s="38"/>
      <c r="R287" s="516"/>
      <c r="S287" s="516"/>
      <c r="T287" s="516"/>
      <c r="U287" s="516"/>
      <c r="V287" s="516"/>
      <c r="W287" s="516"/>
      <c r="X287" s="516"/>
      <c r="Y287" s="76">
        <f>SUM(Y283:Y286)/3</f>
        <v>97.497530974840629</v>
      </c>
      <c r="Z287" s="76">
        <f>SUM(Z283:Z286)/3</f>
        <v>97.497530974840629</v>
      </c>
      <c r="AA287" s="36">
        <f>SUM(AA283:AA286)</f>
        <v>80331500</v>
      </c>
      <c r="AB287" s="76">
        <f>SUM(AB283:AB286)/3</f>
        <v>97.497530974840629</v>
      </c>
      <c r="AC287" s="36">
        <f>SUM(AC283:AC286)</f>
        <v>80331500</v>
      </c>
      <c r="AD287" s="76">
        <f>SUM(AD283:AD286)/3</f>
        <v>97.497530974840629</v>
      </c>
    </row>
    <row r="288" spans="2:30">
      <c r="B288" s="296"/>
      <c r="C288" s="10" t="s">
        <v>1543</v>
      </c>
      <c r="D288" s="299" t="s">
        <v>1544</v>
      </c>
      <c r="E288" s="506"/>
      <c r="F288" s="506"/>
      <c r="G288" s="479"/>
      <c r="H288" s="575"/>
      <c r="I288" s="479"/>
      <c r="J288" s="12"/>
      <c r="K288" s="12"/>
      <c r="L288" s="296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 spans="1:31">
      <c r="B289" s="13">
        <v>1</v>
      </c>
      <c r="C289" s="17" t="s">
        <v>206</v>
      </c>
      <c r="D289" s="39" t="s">
        <v>28</v>
      </c>
      <c r="E289" s="204"/>
      <c r="F289" s="204"/>
      <c r="G289" s="193"/>
      <c r="H289" s="89"/>
      <c r="I289" s="193"/>
      <c r="J289" s="15">
        <v>28600000</v>
      </c>
      <c r="K289" s="99">
        <v>10345000</v>
      </c>
      <c r="L289" s="13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53">
        <f>AB289</f>
        <v>100</v>
      </c>
      <c r="Z289" s="53">
        <f>AD289</f>
        <v>100</v>
      </c>
      <c r="AA289" s="53">
        <v>10345000</v>
      </c>
      <c r="AB289" s="19">
        <f>AA289/K289*100</f>
        <v>100</v>
      </c>
      <c r="AC289" s="53">
        <f>AA289</f>
        <v>10345000</v>
      </c>
      <c r="AD289" s="19">
        <f>AC289/K289*100</f>
        <v>100</v>
      </c>
    </row>
    <row r="290" spans="1:31">
      <c r="B290" s="13">
        <f>B289+1</f>
        <v>2</v>
      </c>
      <c r="C290" s="17" t="s">
        <v>207</v>
      </c>
      <c r="D290" s="39" t="s">
        <v>30</v>
      </c>
      <c r="E290" s="204"/>
      <c r="F290" s="204"/>
      <c r="G290" s="193"/>
      <c r="H290" s="89"/>
      <c r="I290" s="193"/>
      <c r="J290" s="15">
        <v>6000000</v>
      </c>
      <c r="K290" s="99">
        <v>6000000</v>
      </c>
      <c r="L290" s="13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53">
        <f>AB290</f>
        <v>100</v>
      </c>
      <c r="Z290" s="53">
        <f>AD290</f>
        <v>100</v>
      </c>
      <c r="AA290" s="53">
        <v>6000000</v>
      </c>
      <c r="AB290" s="19">
        <f t="shared" ref="AB290:AB292" si="84">AA290/K290*100</f>
        <v>100</v>
      </c>
      <c r="AC290" s="53">
        <f>AA290</f>
        <v>6000000</v>
      </c>
      <c r="AD290" s="19">
        <f t="shared" ref="AD290:AD292" si="85">AC290/K290*100</f>
        <v>100</v>
      </c>
    </row>
    <row r="291" spans="1:31">
      <c r="B291" s="13">
        <f>B290+1</f>
        <v>3</v>
      </c>
      <c r="C291" s="17" t="s">
        <v>208</v>
      </c>
      <c r="D291" s="39" t="s">
        <v>32</v>
      </c>
      <c r="E291" s="204"/>
      <c r="F291" s="204"/>
      <c r="G291" s="193"/>
      <c r="H291" s="89"/>
      <c r="I291" s="193"/>
      <c r="J291" s="15">
        <v>7400000</v>
      </c>
      <c r="K291" s="99">
        <v>1600000</v>
      </c>
      <c r="L291" s="13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53">
        <f>AB291</f>
        <v>100</v>
      </c>
      <c r="Z291" s="53">
        <f>AD291</f>
        <v>100</v>
      </c>
      <c r="AA291" s="53">
        <v>1600000</v>
      </c>
      <c r="AB291" s="19">
        <f t="shared" si="84"/>
        <v>100</v>
      </c>
      <c r="AC291" s="53">
        <f>AA291</f>
        <v>1600000</v>
      </c>
      <c r="AD291" s="19">
        <f t="shared" si="85"/>
        <v>100</v>
      </c>
    </row>
    <row r="292" spans="1:31">
      <c r="B292" s="13">
        <v>4</v>
      </c>
      <c r="C292" s="74" t="s">
        <v>205</v>
      </c>
      <c r="D292" s="74" t="s">
        <v>34</v>
      </c>
      <c r="E292" s="204"/>
      <c r="F292" s="204"/>
      <c r="G292" s="193"/>
      <c r="H292" s="89"/>
      <c r="I292" s="193"/>
      <c r="J292" s="15">
        <v>35000000</v>
      </c>
      <c r="K292" s="99">
        <v>64000000</v>
      </c>
      <c r="L292" s="13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53">
        <f>AB292</f>
        <v>99.84375</v>
      </c>
      <c r="Z292" s="53">
        <f>AD292</f>
        <v>99.84375</v>
      </c>
      <c r="AA292" s="53">
        <v>63900000</v>
      </c>
      <c r="AB292" s="19">
        <f t="shared" si="84"/>
        <v>99.84375</v>
      </c>
      <c r="AC292" s="53">
        <f>AA292</f>
        <v>63900000</v>
      </c>
      <c r="AD292" s="19">
        <f t="shared" si="85"/>
        <v>99.84375</v>
      </c>
    </row>
    <row r="293" spans="1:31">
      <c r="B293" s="332">
        <v>27</v>
      </c>
      <c r="C293" s="894" t="s">
        <v>1545</v>
      </c>
      <c r="D293" s="883"/>
      <c r="E293" s="483"/>
      <c r="F293" s="483">
        <v>4</v>
      </c>
      <c r="G293" s="468"/>
      <c r="H293" s="526"/>
      <c r="I293" s="468"/>
      <c r="J293" s="35">
        <f>SUM(J289:J292)</f>
        <v>77000000</v>
      </c>
      <c r="K293" s="36">
        <f>SUM(K289:K292)</f>
        <v>81945000</v>
      </c>
      <c r="L293" s="37"/>
      <c r="M293" s="38"/>
      <c r="N293" s="38"/>
      <c r="O293" s="38"/>
      <c r="P293" s="38"/>
      <c r="Q293" s="38"/>
      <c r="R293" s="516"/>
      <c r="S293" s="516"/>
      <c r="T293" s="516"/>
      <c r="U293" s="516"/>
      <c r="V293" s="516"/>
      <c r="W293" s="516"/>
      <c r="X293" s="516"/>
      <c r="Y293" s="36">
        <f>SUM(Y289:Y292)/4</f>
        <v>99.9609375</v>
      </c>
      <c r="Z293" s="36">
        <f>SUM(Z289:Z292)/4</f>
        <v>99.9609375</v>
      </c>
      <c r="AA293" s="36">
        <f>SUM(AA289:AA292)</f>
        <v>81845000</v>
      </c>
      <c r="AB293" s="36">
        <f>SUM(AB289:AB292)/4</f>
        <v>99.9609375</v>
      </c>
      <c r="AC293" s="36">
        <f>SUM(AC289:AC292)</f>
        <v>81845000</v>
      </c>
      <c r="AD293" s="36">
        <f>SUM(AD289:AD292)/4</f>
        <v>99.9609375</v>
      </c>
    </row>
    <row r="294" spans="1:31">
      <c r="B294" s="296"/>
      <c r="C294" s="10" t="s">
        <v>1546</v>
      </c>
      <c r="D294" s="299" t="s">
        <v>1547</v>
      </c>
      <c r="E294" s="506"/>
      <c r="F294" s="506"/>
      <c r="G294" s="479"/>
      <c r="H294" s="575"/>
      <c r="I294" s="479"/>
      <c r="J294" s="12"/>
      <c r="K294" s="12"/>
      <c r="L294" s="296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 spans="1:31">
      <c r="B295" s="13">
        <v>1</v>
      </c>
      <c r="C295" s="17" t="s">
        <v>206</v>
      </c>
      <c r="D295" s="336" t="s">
        <v>28</v>
      </c>
      <c r="E295" s="204"/>
      <c r="F295" s="204"/>
      <c r="G295" s="193"/>
      <c r="H295" s="89"/>
      <c r="I295" s="193"/>
      <c r="J295" s="15">
        <v>69100000</v>
      </c>
      <c r="K295" s="99">
        <v>64395000</v>
      </c>
      <c r="L295" s="13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53">
        <f>AB295</f>
        <v>99.963118254522868</v>
      </c>
      <c r="Z295" s="53">
        <f>AD295</f>
        <v>99.963118254522868</v>
      </c>
      <c r="AA295" s="77">
        <v>64371250</v>
      </c>
      <c r="AB295" s="19">
        <f>AA295/K295*100</f>
        <v>99.963118254522868</v>
      </c>
      <c r="AC295" s="22">
        <f>AA295</f>
        <v>64371250</v>
      </c>
      <c r="AD295" s="19">
        <f>AC295/K295*100</f>
        <v>99.963118254522868</v>
      </c>
    </row>
    <row r="296" spans="1:31" s="69" customFormat="1">
      <c r="A296" s="1"/>
      <c r="B296" s="13">
        <f>B295+1</f>
        <v>2</v>
      </c>
      <c r="C296" s="17" t="s">
        <v>207</v>
      </c>
      <c r="D296" s="336" t="s">
        <v>30</v>
      </c>
      <c r="E296" s="204"/>
      <c r="F296" s="204"/>
      <c r="G296" s="193"/>
      <c r="H296" s="89"/>
      <c r="I296" s="193"/>
      <c r="J296" s="15">
        <v>1600000</v>
      </c>
      <c r="K296" s="99">
        <v>1200000</v>
      </c>
      <c r="L296" s="13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53">
        <f t="shared" ref="Y296" si="86">AB296</f>
        <v>100</v>
      </c>
      <c r="Z296" s="53">
        <f t="shared" ref="Z296:Z298" si="87">AD296</f>
        <v>100</v>
      </c>
      <c r="AA296" s="77">
        <v>1200000</v>
      </c>
      <c r="AB296" s="19">
        <f t="shared" ref="AB296:AB298" si="88">AA296/K296*100</f>
        <v>100</v>
      </c>
      <c r="AC296" s="22">
        <f t="shared" ref="AC296:AC298" si="89">AA296</f>
        <v>1200000</v>
      </c>
      <c r="AD296" s="19">
        <f t="shared" ref="AD296:AD298" si="90">AC296/K296*100</f>
        <v>100</v>
      </c>
      <c r="AE296" s="2"/>
    </row>
    <row r="297" spans="1:31">
      <c r="B297" s="13">
        <f>B296+1</f>
        <v>3</v>
      </c>
      <c r="C297" s="17" t="s">
        <v>208</v>
      </c>
      <c r="D297" s="336" t="s">
        <v>32</v>
      </c>
      <c r="E297" s="204"/>
      <c r="F297" s="204"/>
      <c r="G297" s="193"/>
      <c r="H297" s="89"/>
      <c r="I297" s="193"/>
      <c r="J297" s="15">
        <v>6300000</v>
      </c>
      <c r="K297" s="99">
        <v>0</v>
      </c>
      <c r="L297" s="13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53">
        <f t="shared" ref="Y297" si="91">AB297</f>
        <v>0</v>
      </c>
      <c r="Z297" s="53">
        <f t="shared" ref="Z297" si="92">AD297</f>
        <v>0</v>
      </c>
      <c r="AA297" s="77">
        <v>0</v>
      </c>
      <c r="AB297" s="19">
        <v>0</v>
      </c>
      <c r="AC297" s="22">
        <f t="shared" si="89"/>
        <v>0</v>
      </c>
      <c r="AD297" s="19">
        <v>0</v>
      </c>
    </row>
    <row r="298" spans="1:31">
      <c r="B298" s="13">
        <f>B297+1</f>
        <v>4</v>
      </c>
      <c r="C298" s="50" t="s">
        <v>209</v>
      </c>
      <c r="D298" s="58" t="s">
        <v>34</v>
      </c>
      <c r="E298" s="347"/>
      <c r="F298" s="347"/>
      <c r="G298" s="498"/>
      <c r="H298" s="105"/>
      <c r="I298" s="498"/>
      <c r="J298" s="598"/>
      <c r="K298" s="99">
        <v>15510000</v>
      </c>
      <c r="L298" s="47"/>
      <c r="M298" s="51"/>
      <c r="N298" s="51"/>
      <c r="O298" s="51"/>
      <c r="P298" s="51"/>
      <c r="Q298" s="51"/>
      <c r="R298" s="498"/>
      <c r="S298" s="498"/>
      <c r="T298" s="498"/>
      <c r="U298" s="498"/>
      <c r="V298" s="498"/>
      <c r="W298" s="498"/>
      <c r="X298" s="498"/>
      <c r="Y298" s="53">
        <f>AB298</f>
        <v>98.065764023210832</v>
      </c>
      <c r="Z298" s="53">
        <f t="shared" si="87"/>
        <v>98.065764023210832</v>
      </c>
      <c r="AA298" s="734">
        <v>15210000</v>
      </c>
      <c r="AB298" s="19">
        <f t="shared" si="88"/>
        <v>98.065764023210832</v>
      </c>
      <c r="AC298" s="22">
        <f t="shared" si="89"/>
        <v>15210000</v>
      </c>
      <c r="AD298" s="19">
        <f t="shared" si="90"/>
        <v>98.065764023210832</v>
      </c>
    </row>
    <row r="299" spans="1:31">
      <c r="B299" s="27">
        <v>28</v>
      </c>
      <c r="C299" s="882" t="s">
        <v>1548</v>
      </c>
      <c r="D299" s="883"/>
      <c r="E299" s="483"/>
      <c r="F299" s="483">
        <v>3</v>
      </c>
      <c r="G299" s="468"/>
      <c r="H299" s="526"/>
      <c r="I299" s="468"/>
      <c r="J299" s="35">
        <f>SUM(J295:J297)</f>
        <v>77000000</v>
      </c>
      <c r="K299" s="36">
        <f>SUM(K295:K298)</f>
        <v>81105000</v>
      </c>
      <c r="L299" s="37"/>
      <c r="M299" s="38"/>
      <c r="N299" s="38"/>
      <c r="O299" s="38"/>
      <c r="P299" s="38"/>
      <c r="Q299" s="38"/>
      <c r="R299" s="516"/>
      <c r="S299" s="516"/>
      <c r="T299" s="516"/>
      <c r="U299" s="516"/>
      <c r="V299" s="516"/>
      <c r="W299" s="516"/>
      <c r="X299" s="516"/>
      <c r="Y299" s="76">
        <f>SUM(Y295:Y298)/3</f>
        <v>99.342960759244576</v>
      </c>
      <c r="Z299" s="76">
        <f>SUM(Z295:Z298)/3</f>
        <v>99.342960759244576</v>
      </c>
      <c r="AA299" s="36">
        <f>SUM(AA295:AA298)</f>
        <v>80781250</v>
      </c>
      <c r="AB299" s="76">
        <f>SUM(AB295:AB298)/3</f>
        <v>99.342960759244576</v>
      </c>
      <c r="AC299" s="36">
        <f>SUM(AC295:AC298)</f>
        <v>80781250</v>
      </c>
      <c r="AD299" s="76">
        <f>SUM(AD295:AD298)/3</f>
        <v>99.342960759244576</v>
      </c>
    </row>
    <row r="300" spans="1:31">
      <c r="B300" s="309"/>
      <c r="C300" s="10" t="s">
        <v>1549</v>
      </c>
      <c r="D300" s="337" t="s">
        <v>1550</v>
      </c>
      <c r="E300" s="506"/>
      <c r="F300" s="506"/>
      <c r="G300" s="479"/>
      <c r="H300" s="575"/>
      <c r="I300" s="479"/>
      <c r="J300" s="12"/>
      <c r="K300" s="12"/>
      <c r="L300" s="296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</row>
    <row r="301" spans="1:31">
      <c r="B301" s="13">
        <v>1</v>
      </c>
      <c r="C301" s="17" t="s">
        <v>206</v>
      </c>
      <c r="D301" s="39" t="s">
        <v>28</v>
      </c>
      <c r="E301" s="204"/>
      <c r="F301" s="204"/>
      <c r="G301" s="193"/>
      <c r="H301" s="89"/>
      <c r="I301" s="193"/>
      <c r="J301" s="15">
        <v>61018000</v>
      </c>
      <c r="K301" s="99">
        <v>66023000</v>
      </c>
      <c r="L301" s="13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53">
        <f>AB301</f>
        <v>91.899444133105135</v>
      </c>
      <c r="Z301" s="53">
        <f>AD301</f>
        <v>91.899444133105135</v>
      </c>
      <c r="AA301" s="22">
        <v>60674770</v>
      </c>
      <c r="AB301" s="19">
        <f>AA301/K301*100</f>
        <v>91.899444133105135</v>
      </c>
      <c r="AC301" s="22">
        <f>AA301</f>
        <v>60674770</v>
      </c>
      <c r="AD301" s="19">
        <f>AC301/K301*100</f>
        <v>91.899444133105135</v>
      </c>
    </row>
    <row r="302" spans="1:31">
      <c r="B302" s="13">
        <v>2</v>
      </c>
      <c r="C302" s="17" t="s">
        <v>207</v>
      </c>
      <c r="D302" s="39" t="s">
        <v>30</v>
      </c>
      <c r="E302" s="204"/>
      <c r="F302" s="204"/>
      <c r="G302" s="193"/>
      <c r="H302" s="89"/>
      <c r="I302" s="193"/>
      <c r="J302" s="15">
        <v>2000000</v>
      </c>
      <c r="K302" s="99">
        <v>2000000</v>
      </c>
      <c r="L302" s="13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53">
        <f>AB302</f>
        <v>100</v>
      </c>
      <c r="Z302" s="53">
        <f>AD302</f>
        <v>100</v>
      </c>
      <c r="AA302" s="22">
        <v>2000000</v>
      </c>
      <c r="AB302" s="19">
        <f t="shared" ref="AB302:AB305" si="93">AA302/K302*100</f>
        <v>100</v>
      </c>
      <c r="AC302" s="53">
        <f>AA302</f>
        <v>2000000</v>
      </c>
      <c r="AD302" s="19">
        <f t="shared" ref="AD302:AD305" si="94">AC302/K302*100</f>
        <v>100</v>
      </c>
    </row>
    <row r="303" spans="1:31">
      <c r="B303" s="13">
        <f>B302+1</f>
        <v>3</v>
      </c>
      <c r="C303" s="17" t="s">
        <v>208</v>
      </c>
      <c r="D303" s="39" t="s">
        <v>32</v>
      </c>
      <c r="E303" s="204"/>
      <c r="F303" s="204"/>
      <c r="G303" s="193"/>
      <c r="H303" s="89"/>
      <c r="I303" s="193"/>
      <c r="J303" s="15">
        <v>3482000</v>
      </c>
      <c r="K303" s="99">
        <v>3482000</v>
      </c>
      <c r="L303" s="13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53">
        <f>AB303</f>
        <v>99.42561746122918</v>
      </c>
      <c r="Z303" s="53">
        <f>AD303</f>
        <v>99.42561746122918</v>
      </c>
      <c r="AA303" s="22">
        <v>3462000</v>
      </c>
      <c r="AB303" s="19">
        <f t="shared" si="93"/>
        <v>99.42561746122918</v>
      </c>
      <c r="AC303" s="53">
        <f>AA303</f>
        <v>3462000</v>
      </c>
      <c r="AD303" s="19">
        <f t="shared" si="94"/>
        <v>99.42561746122918</v>
      </c>
    </row>
    <row r="304" spans="1:31">
      <c r="B304" s="45">
        <f>B303+1</f>
        <v>4</v>
      </c>
      <c r="C304" s="44" t="s">
        <v>209</v>
      </c>
      <c r="D304" s="78" t="s">
        <v>34</v>
      </c>
      <c r="E304" s="489"/>
      <c r="F304" s="489"/>
      <c r="G304" s="240"/>
      <c r="H304" s="186"/>
      <c r="I304" s="240"/>
      <c r="J304" s="79">
        <v>10500000</v>
      </c>
      <c r="K304" s="99">
        <v>10500000</v>
      </c>
      <c r="L304" s="45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55">
        <f>AB304</f>
        <v>100</v>
      </c>
      <c r="Z304" s="55">
        <f>AD304</f>
        <v>100</v>
      </c>
      <c r="AA304" s="73">
        <v>10500000</v>
      </c>
      <c r="AB304" s="19">
        <f t="shared" si="93"/>
        <v>100</v>
      </c>
      <c r="AC304" s="55">
        <f>AA304</f>
        <v>10500000</v>
      </c>
      <c r="AD304" s="19">
        <f t="shared" si="94"/>
        <v>100</v>
      </c>
    </row>
    <row r="305" spans="2:30" ht="27">
      <c r="B305" s="32">
        <v>5</v>
      </c>
      <c r="C305" s="80" t="s">
        <v>1551</v>
      </c>
      <c r="D305" s="81" t="s">
        <v>1552</v>
      </c>
      <c r="E305" s="507"/>
      <c r="F305" s="489"/>
      <c r="G305" s="240"/>
      <c r="H305" s="186"/>
      <c r="I305" s="240"/>
      <c r="J305" s="15">
        <v>40000000</v>
      </c>
      <c r="K305" s="99">
        <v>40000000</v>
      </c>
      <c r="L305" s="32"/>
      <c r="M305" s="33"/>
      <c r="N305" s="33"/>
      <c r="O305" s="33"/>
      <c r="P305" s="33"/>
      <c r="Q305" s="33"/>
      <c r="R305" s="44"/>
      <c r="S305" s="44"/>
      <c r="T305" s="44"/>
      <c r="U305" s="44"/>
      <c r="V305" s="44"/>
      <c r="W305" s="44"/>
      <c r="X305" s="44"/>
      <c r="Y305" s="55">
        <v>20</v>
      </c>
      <c r="Z305" s="55">
        <v>20</v>
      </c>
      <c r="AA305" s="325">
        <v>34488200</v>
      </c>
      <c r="AB305" s="19">
        <f t="shared" si="93"/>
        <v>86.220500000000001</v>
      </c>
      <c r="AC305" s="56">
        <f>AA305</f>
        <v>34488200</v>
      </c>
      <c r="AD305" s="19">
        <f t="shared" si="94"/>
        <v>86.220500000000001</v>
      </c>
    </row>
    <row r="306" spans="2:30">
      <c r="B306" s="27">
        <v>29</v>
      </c>
      <c r="C306" s="882" t="s">
        <v>1553</v>
      </c>
      <c r="D306" s="883"/>
      <c r="E306" s="483"/>
      <c r="F306" s="483">
        <v>5</v>
      </c>
      <c r="G306" s="468"/>
      <c r="H306" s="526"/>
      <c r="I306" s="468"/>
      <c r="J306" s="35">
        <f>SUM(J301:J305)</f>
        <v>117000000</v>
      </c>
      <c r="K306" s="36">
        <f>SUM(K301:K305)</f>
        <v>122005000</v>
      </c>
      <c r="L306" s="37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82">
        <f>SUM(Y301:Y305)/5</f>
        <v>82.265012318866866</v>
      </c>
      <c r="Z306" s="82">
        <f>SUM(Z301:Z305)/5</f>
        <v>82.265012318866866</v>
      </c>
      <c r="AA306" s="35">
        <f>SUM(AA301:AA305)</f>
        <v>111124970</v>
      </c>
      <c r="AB306" s="82">
        <f>SUM(AB301:AB304)/5</f>
        <v>78.265012318866866</v>
      </c>
      <c r="AC306" s="35">
        <f>SUM(AC301:AC305)</f>
        <v>111124970</v>
      </c>
      <c r="AD306" s="82">
        <f>SUM(AD301:AD304)/5</f>
        <v>78.265012318866866</v>
      </c>
    </row>
    <row r="307" spans="2:30">
      <c r="B307" s="296"/>
      <c r="C307" s="10" t="s">
        <v>1554</v>
      </c>
      <c r="D307" s="299" t="s">
        <v>1555</v>
      </c>
      <c r="E307" s="506"/>
      <c r="F307" s="506"/>
      <c r="G307" s="479"/>
      <c r="H307" s="575"/>
      <c r="I307" s="479"/>
      <c r="J307" s="12"/>
      <c r="K307" s="12"/>
      <c r="L307" s="296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</row>
    <row r="308" spans="2:30">
      <c r="B308" s="13">
        <f>B307+1</f>
        <v>1</v>
      </c>
      <c r="C308" s="17" t="s">
        <v>206</v>
      </c>
      <c r="D308" s="39" t="s">
        <v>28</v>
      </c>
      <c r="E308" s="204"/>
      <c r="F308" s="204"/>
      <c r="G308" s="193"/>
      <c r="H308" s="89"/>
      <c r="I308" s="193"/>
      <c r="J308" s="15">
        <v>60080000</v>
      </c>
      <c r="K308" s="99">
        <v>65635000</v>
      </c>
      <c r="L308" s="13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53">
        <f>AB308</f>
        <v>92.075883293974243</v>
      </c>
      <c r="Z308" s="53">
        <f>AD308</f>
        <v>92.075883293974243</v>
      </c>
      <c r="AA308" s="22">
        <v>60434006</v>
      </c>
      <c r="AB308" s="19">
        <f>AA308/K308*100</f>
        <v>92.075883293974243</v>
      </c>
      <c r="AC308" s="22">
        <f>AA308</f>
        <v>60434006</v>
      </c>
      <c r="AD308" s="19">
        <f>AC308/K308*100</f>
        <v>92.075883293974243</v>
      </c>
    </row>
    <row r="309" spans="2:30">
      <c r="B309" s="13">
        <f>B308+1</f>
        <v>2</v>
      </c>
      <c r="C309" s="17" t="s">
        <v>208</v>
      </c>
      <c r="D309" s="39" t="s">
        <v>32</v>
      </c>
      <c r="E309" s="204"/>
      <c r="F309" s="204"/>
      <c r="G309" s="193"/>
      <c r="H309" s="89"/>
      <c r="I309" s="193"/>
      <c r="J309" s="15">
        <v>9620000</v>
      </c>
      <c r="K309" s="99">
        <v>9620000</v>
      </c>
      <c r="L309" s="13"/>
      <c r="M309" s="17" t="s">
        <v>1</v>
      </c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53">
        <f>AB309</f>
        <v>99.272349272349274</v>
      </c>
      <c r="Z309" s="53">
        <f>AD309</f>
        <v>99.272349272349274</v>
      </c>
      <c r="AA309" s="83">
        <v>9550000</v>
      </c>
      <c r="AB309" s="19">
        <f t="shared" ref="AB309:AB310" si="95">AA309/K309*100</f>
        <v>99.272349272349274</v>
      </c>
      <c r="AC309" s="53">
        <f>AA309</f>
        <v>9550000</v>
      </c>
      <c r="AD309" s="19">
        <f t="shared" ref="AD309:AD310" si="96">AC309/K309*100</f>
        <v>99.272349272349274</v>
      </c>
    </row>
    <row r="310" spans="2:30">
      <c r="B310" s="45">
        <f>B309+1</f>
        <v>3</v>
      </c>
      <c r="C310" s="44" t="s">
        <v>209</v>
      </c>
      <c r="D310" s="78" t="s">
        <v>34</v>
      </c>
      <c r="E310" s="489"/>
      <c r="F310" s="489"/>
      <c r="G310" s="240"/>
      <c r="H310" s="186"/>
      <c r="I310" s="240"/>
      <c r="J310" s="15">
        <v>7300000</v>
      </c>
      <c r="K310" s="99">
        <v>7300000</v>
      </c>
      <c r="L310" s="45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55">
        <f>AB310</f>
        <v>90.575342465753423</v>
      </c>
      <c r="Z310" s="55">
        <f>AD310</f>
        <v>90.575342465753423</v>
      </c>
      <c r="AA310" s="73">
        <v>6612000</v>
      </c>
      <c r="AB310" s="19">
        <f t="shared" si="95"/>
        <v>90.575342465753423</v>
      </c>
      <c r="AC310" s="73">
        <f>AA310</f>
        <v>6612000</v>
      </c>
      <c r="AD310" s="19">
        <f t="shared" si="96"/>
        <v>90.575342465753423</v>
      </c>
    </row>
    <row r="311" spans="2:30">
      <c r="B311" s="27">
        <v>30</v>
      </c>
      <c r="C311" s="882" t="s">
        <v>1556</v>
      </c>
      <c r="D311" s="883"/>
      <c r="E311" s="483"/>
      <c r="F311" s="483">
        <v>3</v>
      </c>
      <c r="G311" s="468"/>
      <c r="H311" s="526"/>
      <c r="I311" s="468"/>
      <c r="J311" s="338">
        <f>SUM(J308:J310)</f>
        <v>77000000</v>
      </c>
      <c r="K311" s="338">
        <f>SUM(K308:K310)</f>
        <v>82555000</v>
      </c>
      <c r="L311" s="37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84">
        <f>SUM(Y308:Y310)/3</f>
        <v>93.974525010692318</v>
      </c>
      <c r="Z311" s="84">
        <f>SUM(Z308:Z310)/3</f>
        <v>93.974525010692318</v>
      </c>
      <c r="AA311" s="68">
        <f>SUM(AA308:AA310)</f>
        <v>76596006</v>
      </c>
      <c r="AB311" s="84">
        <f>SUM(AB308:AB310)/3</f>
        <v>93.974525010692318</v>
      </c>
      <c r="AC311" s="68">
        <f>SUM(AC308:AC310)</f>
        <v>76596006</v>
      </c>
      <c r="AD311" s="84">
        <f>SUM(AD308:AD310)/3</f>
        <v>93.974525010692318</v>
      </c>
    </row>
    <row r="312" spans="2:30">
      <c r="B312" s="296"/>
      <c r="C312" s="10" t="s">
        <v>1557</v>
      </c>
      <c r="D312" s="299" t="s">
        <v>1558</v>
      </c>
      <c r="E312" s="506"/>
      <c r="F312" s="506"/>
      <c r="G312" s="479"/>
      <c r="H312" s="575"/>
      <c r="I312" s="479"/>
      <c r="J312" s="12"/>
      <c r="K312" s="12"/>
      <c r="L312" s="296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</row>
    <row r="313" spans="2:30">
      <c r="B313" s="57">
        <v>1</v>
      </c>
      <c r="C313" s="17" t="s">
        <v>206</v>
      </c>
      <c r="D313" s="336" t="s">
        <v>28</v>
      </c>
      <c r="E313" s="204"/>
      <c r="F313" s="204"/>
      <c r="G313" s="193"/>
      <c r="H313" s="89"/>
      <c r="I313" s="193"/>
      <c r="J313" s="15">
        <v>72000000</v>
      </c>
      <c r="K313" s="99">
        <v>77005000</v>
      </c>
      <c r="L313" s="13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53">
        <f>AB313</f>
        <v>100</v>
      </c>
      <c r="Z313" s="53">
        <f>AD313</f>
        <v>100</v>
      </c>
      <c r="AA313" s="99">
        <v>77005000</v>
      </c>
      <c r="AB313" s="19">
        <f>AA313/K313*100</f>
        <v>100</v>
      </c>
      <c r="AC313" s="53">
        <f>AA313</f>
        <v>77005000</v>
      </c>
      <c r="AD313" s="19">
        <f>AC313/K313*100</f>
        <v>100</v>
      </c>
    </row>
    <row r="314" spans="2:30">
      <c r="B314" s="13">
        <v>2</v>
      </c>
      <c r="C314" s="17" t="s">
        <v>207</v>
      </c>
      <c r="D314" s="336" t="s">
        <v>30</v>
      </c>
      <c r="E314" s="204"/>
      <c r="F314" s="204"/>
      <c r="G314" s="193"/>
      <c r="H314" s="89"/>
      <c r="I314" s="193"/>
      <c r="J314" s="15">
        <v>2500000</v>
      </c>
      <c r="K314" s="99">
        <v>2500000</v>
      </c>
      <c r="L314" s="13"/>
      <c r="M314" s="17"/>
      <c r="N314" s="17" t="s">
        <v>1</v>
      </c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53">
        <f>AB314</f>
        <v>100</v>
      </c>
      <c r="Z314" s="53">
        <f>AD314</f>
        <v>100</v>
      </c>
      <c r="AA314" s="99">
        <v>2500000</v>
      </c>
      <c r="AB314" s="19">
        <f t="shared" ref="AB314:AB316" si="97">AA314/K314*100</f>
        <v>100</v>
      </c>
      <c r="AC314" s="53">
        <f>AA314</f>
        <v>2500000</v>
      </c>
      <c r="AD314" s="19">
        <f t="shared" ref="AD314:AD316" si="98">AC314/K314*100</f>
        <v>100</v>
      </c>
    </row>
    <row r="315" spans="2:30">
      <c r="B315" s="13">
        <v>3</v>
      </c>
      <c r="C315" s="17" t="s">
        <v>208</v>
      </c>
      <c r="D315" s="336" t="s">
        <v>32</v>
      </c>
      <c r="E315" s="204"/>
      <c r="F315" s="204"/>
      <c r="G315" s="193"/>
      <c r="H315" s="89"/>
      <c r="I315" s="193"/>
      <c r="J315" s="15">
        <v>2500000</v>
      </c>
      <c r="K315" s="99">
        <v>2500000</v>
      </c>
      <c r="L315" s="13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53">
        <f>AB315</f>
        <v>100</v>
      </c>
      <c r="Z315" s="53">
        <f>AD315</f>
        <v>100</v>
      </c>
      <c r="AA315" s="99">
        <v>2500000</v>
      </c>
      <c r="AB315" s="19">
        <f t="shared" si="97"/>
        <v>100</v>
      </c>
      <c r="AC315" s="53">
        <f>AA315</f>
        <v>2500000</v>
      </c>
      <c r="AD315" s="19">
        <f t="shared" si="98"/>
        <v>100</v>
      </c>
    </row>
    <row r="316" spans="2:30" ht="25.5">
      <c r="B316" s="13">
        <v>4</v>
      </c>
      <c r="C316" s="50" t="s">
        <v>2310</v>
      </c>
      <c r="D316" s="75" t="s">
        <v>2311</v>
      </c>
      <c r="E316" s="347"/>
      <c r="F316" s="347"/>
      <c r="G316" s="498"/>
      <c r="H316" s="105"/>
      <c r="I316" s="498"/>
      <c r="J316" s="598"/>
      <c r="K316" s="99">
        <v>50000000</v>
      </c>
      <c r="L316" s="47"/>
      <c r="M316" s="51"/>
      <c r="N316" s="51"/>
      <c r="O316" s="51"/>
      <c r="P316" s="51"/>
      <c r="Q316" s="51"/>
      <c r="R316" s="498"/>
      <c r="S316" s="498"/>
      <c r="T316" s="498"/>
      <c r="U316" s="498"/>
      <c r="V316" s="498"/>
      <c r="W316" s="498"/>
      <c r="X316" s="498"/>
      <c r="Y316" s="53">
        <f>AB316</f>
        <v>100</v>
      </c>
      <c r="Z316" s="53">
        <f>AD316</f>
        <v>100</v>
      </c>
      <c r="AA316" s="99">
        <v>50000000</v>
      </c>
      <c r="AB316" s="19">
        <f t="shared" si="97"/>
        <v>100</v>
      </c>
      <c r="AC316" s="53">
        <f>AA316</f>
        <v>50000000</v>
      </c>
      <c r="AD316" s="19">
        <f t="shared" si="98"/>
        <v>100</v>
      </c>
    </row>
    <row r="317" spans="2:30">
      <c r="B317" s="27">
        <v>31</v>
      </c>
      <c r="C317" s="893" t="s">
        <v>1559</v>
      </c>
      <c r="D317" s="883"/>
      <c r="E317" s="483"/>
      <c r="F317" s="483">
        <v>4</v>
      </c>
      <c r="G317" s="468"/>
      <c r="H317" s="526"/>
      <c r="I317" s="468"/>
      <c r="J317" s="35">
        <f>SUM(J313:J315)</f>
        <v>77000000</v>
      </c>
      <c r="K317" s="36">
        <f>SUM(K313:K316)</f>
        <v>132005000</v>
      </c>
      <c r="L317" s="37"/>
      <c r="M317" s="38"/>
      <c r="N317" s="38"/>
      <c r="O317" s="38"/>
      <c r="P317" s="38"/>
      <c r="Q317" s="38"/>
      <c r="R317" s="516"/>
      <c r="S317" s="516"/>
      <c r="T317" s="516"/>
      <c r="U317" s="516"/>
      <c r="V317" s="516"/>
      <c r="W317" s="516"/>
      <c r="X317" s="516"/>
      <c r="Y317" s="36">
        <f>SUM(Y313:Y315)/3</f>
        <v>100</v>
      </c>
      <c r="Z317" s="36">
        <f>SUM(Z313:Z315)/3</f>
        <v>100</v>
      </c>
      <c r="AA317" s="36">
        <f>SUM(AA313:AA315)</f>
        <v>82005000</v>
      </c>
      <c r="AB317" s="36">
        <f>SUM(AB313:AB315)/3</f>
        <v>100</v>
      </c>
      <c r="AC317" s="36">
        <f>SUM(AC313:AC315)</f>
        <v>82005000</v>
      </c>
      <c r="AD317" s="36">
        <f>SUM(AD313:AD315)/3</f>
        <v>100</v>
      </c>
    </row>
    <row r="318" spans="2:30">
      <c r="B318" s="47"/>
      <c r="C318" s="51" t="s">
        <v>1560</v>
      </c>
      <c r="D318" s="339" t="s">
        <v>1561</v>
      </c>
      <c r="E318" s="347"/>
      <c r="F318" s="347"/>
      <c r="G318" s="498"/>
      <c r="H318" s="105"/>
      <c r="I318" s="498"/>
      <c r="J318" s="85"/>
      <c r="K318" s="85"/>
      <c r="L318" s="47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</row>
    <row r="319" spans="2:30">
      <c r="B319" s="13">
        <f>B318+1</f>
        <v>1</v>
      </c>
      <c r="C319" s="17" t="s">
        <v>206</v>
      </c>
      <c r="D319" s="39" t="s">
        <v>28</v>
      </c>
      <c r="E319" s="204"/>
      <c r="F319" s="204"/>
      <c r="G319" s="193"/>
      <c r="H319" s="89"/>
      <c r="I319" s="193"/>
      <c r="J319" s="15">
        <v>57000000</v>
      </c>
      <c r="K319" s="99">
        <v>62555000</v>
      </c>
      <c r="L319" s="13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53">
        <f>AB319</f>
        <v>99.140521052631584</v>
      </c>
      <c r="Z319" s="53">
        <f>AD319</f>
        <v>99.140521052631584</v>
      </c>
      <c r="AA319" s="53">
        <v>56510097</v>
      </c>
      <c r="AB319" s="19">
        <f>AA319/J319*100</f>
        <v>99.140521052631584</v>
      </c>
      <c r="AC319" s="53">
        <f>AA319</f>
        <v>56510097</v>
      </c>
      <c r="AD319" s="19">
        <f>AC319/J319*100</f>
        <v>99.140521052631584</v>
      </c>
    </row>
    <row r="320" spans="2:30">
      <c r="B320" s="27">
        <v>32</v>
      </c>
      <c r="C320" s="882" t="s">
        <v>1562</v>
      </c>
      <c r="D320" s="883"/>
      <c r="E320" s="483"/>
      <c r="F320" s="483">
        <v>1</v>
      </c>
      <c r="G320" s="468"/>
      <c r="H320" s="526"/>
      <c r="I320" s="468"/>
      <c r="J320" s="35">
        <f>SUM(J319:J319)</f>
        <v>57000000</v>
      </c>
      <c r="K320" s="36">
        <f>SUM(K319:K319)</f>
        <v>62555000</v>
      </c>
      <c r="L320" s="37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845">
        <f>SUM(Y319:Y319)/1</f>
        <v>99.140521052631584</v>
      </c>
      <c r="Z320" s="845">
        <f>SUM(Z319:Z319)/1</f>
        <v>99.140521052631584</v>
      </c>
      <c r="AA320" s="340">
        <f>SUM(AA319:AA319)</f>
        <v>56510097</v>
      </c>
      <c r="AB320" s="340">
        <f>SUM(AB319:AB319)/1</f>
        <v>99.140521052631584</v>
      </c>
      <c r="AC320" s="340">
        <f>SUM(AC319:AC319)</f>
        <v>56510097</v>
      </c>
      <c r="AD320" s="340">
        <f>SUM(AD319:AD319)/1</f>
        <v>99.140521052631584</v>
      </c>
    </row>
    <row r="321" spans="2:30">
      <c r="B321" s="296"/>
      <c r="C321" s="10" t="s">
        <v>1563</v>
      </c>
      <c r="D321" s="299" t="s">
        <v>1564</v>
      </c>
      <c r="E321" s="506"/>
      <c r="F321" s="506"/>
      <c r="G321" s="479"/>
      <c r="H321" s="575"/>
      <c r="I321" s="479"/>
      <c r="J321" s="12"/>
      <c r="K321" s="12"/>
      <c r="L321" s="296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</row>
    <row r="322" spans="2:30" ht="27">
      <c r="B322" s="13"/>
      <c r="C322" s="86" t="s">
        <v>23</v>
      </c>
      <c r="D322" s="86" t="s">
        <v>26</v>
      </c>
      <c r="E322" s="87"/>
      <c r="F322" s="485"/>
      <c r="G322" s="441"/>
      <c r="H322" s="87"/>
      <c r="I322" s="87"/>
      <c r="J322" s="88"/>
      <c r="K322" s="25"/>
      <c r="L322" s="13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20"/>
      <c r="Z322" s="17"/>
      <c r="AA322" s="17"/>
      <c r="AB322" s="17"/>
      <c r="AC322" s="17"/>
      <c r="AD322" s="17"/>
    </row>
    <row r="323" spans="2:30">
      <c r="B323" s="13">
        <v>1</v>
      </c>
      <c r="C323" s="74" t="s">
        <v>203</v>
      </c>
      <c r="D323" s="74" t="s">
        <v>28</v>
      </c>
      <c r="E323" s="89"/>
      <c r="F323" s="204"/>
      <c r="G323" s="193"/>
      <c r="H323" s="89"/>
      <c r="I323" s="89"/>
      <c r="J323" s="15">
        <v>55500000</v>
      </c>
      <c r="K323" s="99">
        <v>61330000</v>
      </c>
      <c r="L323" s="13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53">
        <f>AB323</f>
        <v>97.152846893852924</v>
      </c>
      <c r="Z323" s="53">
        <f>AD323</f>
        <v>97.152846893852924</v>
      </c>
      <c r="AA323" s="53">
        <v>59583841</v>
      </c>
      <c r="AB323" s="19">
        <f>AA323/K323*100</f>
        <v>97.152846893852924</v>
      </c>
      <c r="AC323" s="53">
        <f>AA323</f>
        <v>59583841</v>
      </c>
      <c r="AD323" s="19">
        <f>AC323/K323*100</f>
        <v>97.152846893852924</v>
      </c>
    </row>
    <row r="324" spans="2:30">
      <c r="B324" s="13">
        <v>2</v>
      </c>
      <c r="C324" s="60" t="s">
        <v>205</v>
      </c>
      <c r="D324" s="59" t="s">
        <v>34</v>
      </c>
      <c r="E324" s="89"/>
      <c r="F324" s="204"/>
      <c r="G324" s="193"/>
      <c r="H324" s="89"/>
      <c r="I324" s="89"/>
      <c r="J324" s="15">
        <v>1500000</v>
      </c>
      <c r="K324" s="99">
        <v>1500000</v>
      </c>
      <c r="L324" s="13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53">
        <v>100</v>
      </c>
      <c r="Z324" s="53">
        <v>100</v>
      </c>
      <c r="AA324" s="22">
        <v>1427000</v>
      </c>
      <c r="AB324" s="19">
        <f>AA324/K324*100</f>
        <v>95.13333333333334</v>
      </c>
      <c r="AC324" s="22">
        <f>AA324</f>
        <v>1427000</v>
      </c>
      <c r="AD324" s="19">
        <f>AC324/K324*100</f>
        <v>95.13333333333334</v>
      </c>
    </row>
    <row r="325" spans="2:30">
      <c r="B325" s="27">
        <v>33</v>
      </c>
      <c r="C325" s="882" t="s">
        <v>1565</v>
      </c>
      <c r="D325" s="883"/>
      <c r="E325" s="483"/>
      <c r="F325" s="483">
        <v>2</v>
      </c>
      <c r="G325" s="468"/>
      <c r="H325" s="526"/>
      <c r="I325" s="468"/>
      <c r="J325" s="35">
        <f>SUM(J323:J324)</f>
        <v>57000000</v>
      </c>
      <c r="K325" s="36">
        <f>SUM(K322:K324)</f>
        <v>62830000</v>
      </c>
      <c r="L325" s="37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20">
        <f>SUM(Y323:Y324)/2</f>
        <v>98.576423446926469</v>
      </c>
      <c r="Z325" s="320">
        <f>SUM(Z323:Z324)/2</f>
        <v>98.576423446926469</v>
      </c>
      <c r="AA325" s="315">
        <f>SUM(AA323:AA324)</f>
        <v>61010841</v>
      </c>
      <c r="AB325" s="320">
        <f>SUM(AB323:AB324)/2</f>
        <v>96.143090113593132</v>
      </c>
      <c r="AC325" s="315">
        <f>SUM(AC323:AC324)</f>
        <v>61010841</v>
      </c>
      <c r="AD325" s="320">
        <f>SUM(AD323:AD324)/2</f>
        <v>96.143090113593132</v>
      </c>
    </row>
    <row r="326" spans="2:30">
      <c r="B326" s="66"/>
      <c r="C326" s="63" t="s">
        <v>1566</v>
      </c>
      <c r="D326" s="64" t="s">
        <v>1567</v>
      </c>
      <c r="E326" s="484"/>
      <c r="F326" s="484"/>
      <c r="G326" s="472"/>
      <c r="H326" s="242"/>
      <c r="I326" s="472"/>
      <c r="J326" s="12"/>
      <c r="K326" s="65"/>
      <c r="L326" s="66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2:30">
      <c r="B327" s="13">
        <f>B326+1</f>
        <v>1</v>
      </c>
      <c r="C327" s="17" t="s">
        <v>206</v>
      </c>
      <c r="D327" s="21" t="s">
        <v>28</v>
      </c>
      <c r="E327" s="204"/>
      <c r="F327" s="204"/>
      <c r="G327" s="193"/>
      <c r="H327" s="89"/>
      <c r="I327" s="193"/>
      <c r="J327" s="15">
        <v>53100000</v>
      </c>
      <c r="K327" s="99">
        <v>56930000</v>
      </c>
      <c r="L327" s="13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53">
        <f>AB327</f>
        <v>92.46383277709468</v>
      </c>
      <c r="Z327" s="53">
        <f>AD327</f>
        <v>92.46383277709468</v>
      </c>
      <c r="AA327" s="53">
        <v>52639660</v>
      </c>
      <c r="AB327" s="19">
        <f>AA327/K327*100</f>
        <v>92.46383277709468</v>
      </c>
      <c r="AC327" s="53">
        <f>AA327</f>
        <v>52639660</v>
      </c>
      <c r="AD327" s="19">
        <f>AC327/K327*100</f>
        <v>92.46383277709468</v>
      </c>
    </row>
    <row r="328" spans="2:30">
      <c r="B328" s="45">
        <f>B327+1</f>
        <v>2</v>
      </c>
      <c r="C328" s="80" t="s">
        <v>208</v>
      </c>
      <c r="D328" s="21" t="s">
        <v>32</v>
      </c>
      <c r="E328" s="489"/>
      <c r="F328" s="489"/>
      <c r="G328" s="240"/>
      <c r="H328" s="186"/>
      <c r="I328" s="240"/>
      <c r="J328" s="15">
        <v>1900000</v>
      </c>
      <c r="K328" s="99">
        <v>1900000</v>
      </c>
      <c r="L328" s="45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55">
        <f>AB328</f>
        <v>99.473684210526315</v>
      </c>
      <c r="Z328" s="55">
        <f>AD328</f>
        <v>99.473684210526315</v>
      </c>
      <c r="AA328" s="55">
        <v>1890000</v>
      </c>
      <c r="AB328" s="19">
        <f t="shared" ref="AB328:AB329" si="99">AA328/K328*100</f>
        <v>99.473684210526315</v>
      </c>
      <c r="AC328" s="55">
        <f>AA328</f>
        <v>1890000</v>
      </c>
      <c r="AD328" s="19">
        <f t="shared" ref="AD328:AD329" si="100">AC328/K328*100</f>
        <v>99.473684210526315</v>
      </c>
    </row>
    <row r="329" spans="2:30">
      <c r="B329" s="32">
        <v>3</v>
      </c>
      <c r="C329" s="60" t="s">
        <v>205</v>
      </c>
      <c r="D329" s="21" t="s">
        <v>34</v>
      </c>
      <c r="E329" s="507"/>
      <c r="F329" s="507"/>
      <c r="G329" s="476"/>
      <c r="H329" s="576"/>
      <c r="I329" s="476"/>
      <c r="J329" s="26">
        <v>2000000</v>
      </c>
      <c r="K329" s="99">
        <v>4000000</v>
      </c>
      <c r="L329" s="32"/>
      <c r="M329" s="33"/>
      <c r="N329" s="33"/>
      <c r="O329" s="33"/>
      <c r="P329" s="33"/>
      <c r="Q329" s="33"/>
      <c r="R329" s="44"/>
      <c r="S329" s="44"/>
      <c r="T329" s="44"/>
      <c r="U329" s="44"/>
      <c r="V329" s="44"/>
      <c r="W329" s="44"/>
      <c r="X329" s="44"/>
      <c r="Y329" s="55">
        <f>AB329</f>
        <v>100</v>
      </c>
      <c r="Z329" s="55">
        <f>AD329</f>
        <v>100</v>
      </c>
      <c r="AA329" s="56">
        <v>4000000</v>
      </c>
      <c r="AB329" s="19">
        <f t="shared" si="99"/>
        <v>100</v>
      </c>
      <c r="AC329" s="55">
        <f>AA329</f>
        <v>4000000</v>
      </c>
      <c r="AD329" s="19">
        <f t="shared" si="100"/>
        <v>100</v>
      </c>
    </row>
    <row r="330" spans="2:30">
      <c r="B330" s="341">
        <v>34</v>
      </c>
      <c r="C330" s="897" t="s">
        <v>1568</v>
      </c>
      <c r="D330" s="897"/>
      <c r="E330" s="508"/>
      <c r="F330" s="508">
        <v>3</v>
      </c>
      <c r="G330" s="499"/>
      <c r="H330" s="577"/>
      <c r="I330" s="499"/>
      <c r="J330" s="342">
        <f>SUM(J327:J329)</f>
        <v>57000000</v>
      </c>
      <c r="K330" s="342">
        <f>SUM(K327:K329)</f>
        <v>62830000</v>
      </c>
      <c r="L330" s="91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4">
        <f>SUM(Y327:Y329)/3</f>
        <v>97.312505662540332</v>
      </c>
      <c r="Z330" s="94">
        <f>SUM(Z327:Z329)/3</f>
        <v>97.312505662540332</v>
      </c>
      <c r="AA330" s="342">
        <f>SUM(AA327:AA329)</f>
        <v>58529660</v>
      </c>
      <c r="AB330" s="94">
        <f>SUM(AB327:AB329)/3</f>
        <v>97.312505662540332</v>
      </c>
      <c r="AC330" s="342">
        <f>SUM(AC327:AC329)</f>
        <v>58529660</v>
      </c>
      <c r="AD330" s="94">
        <f>SUM(AD327:AD329)/3</f>
        <v>97.312505662540332</v>
      </c>
    </row>
    <row r="331" spans="2:30">
      <c r="B331" s="66"/>
      <c r="C331" s="63" t="s">
        <v>1569</v>
      </c>
      <c r="D331" s="64" t="s">
        <v>1570</v>
      </c>
      <c r="E331" s="484"/>
      <c r="F331" s="484"/>
      <c r="G331" s="472"/>
      <c r="H331" s="242"/>
      <c r="I331" s="472"/>
      <c r="J331" s="65"/>
      <c r="K331" s="65"/>
      <c r="L331" s="66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2:30">
      <c r="B332" s="13">
        <f>B331+1</f>
        <v>1</v>
      </c>
      <c r="C332" s="17" t="s">
        <v>206</v>
      </c>
      <c r="D332" s="39" t="s">
        <v>28</v>
      </c>
      <c r="E332" s="204"/>
      <c r="F332" s="204"/>
      <c r="G332" s="193"/>
      <c r="H332" s="89"/>
      <c r="I332" s="193"/>
      <c r="J332" s="15">
        <v>45181000</v>
      </c>
      <c r="K332" s="99">
        <v>48910000</v>
      </c>
      <c r="L332" s="13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53">
        <f>AB332</f>
        <v>97.008014720915966</v>
      </c>
      <c r="Z332" s="53">
        <f>AD332</f>
        <v>97.008014720915966</v>
      </c>
      <c r="AA332" s="22">
        <v>47446620</v>
      </c>
      <c r="AB332" s="19">
        <f>AA332/K332*100</f>
        <v>97.008014720915966</v>
      </c>
      <c r="AC332" s="22">
        <f>AA332</f>
        <v>47446620</v>
      </c>
      <c r="AD332" s="19">
        <f>AC332/K332*100</f>
        <v>97.008014720915966</v>
      </c>
    </row>
    <row r="333" spans="2:30">
      <c r="B333" s="13">
        <f>B332+1</f>
        <v>2</v>
      </c>
      <c r="C333" s="17" t="s">
        <v>207</v>
      </c>
      <c r="D333" s="39" t="s">
        <v>30</v>
      </c>
      <c r="E333" s="204"/>
      <c r="F333" s="204"/>
      <c r="G333" s="193"/>
      <c r="H333" s="89"/>
      <c r="I333" s="193"/>
      <c r="J333" s="15">
        <v>2000000</v>
      </c>
      <c r="K333" s="99">
        <v>4500000</v>
      </c>
      <c r="L333" s="13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53">
        <f>AB333</f>
        <v>100</v>
      </c>
      <c r="Z333" s="53">
        <f>AD333</f>
        <v>100</v>
      </c>
      <c r="AA333" s="53">
        <v>4500000</v>
      </c>
      <c r="AB333" s="19">
        <f t="shared" ref="AB333:AB335" si="101">AA333/K333*100</f>
        <v>100</v>
      </c>
      <c r="AC333" s="53">
        <f>AA333</f>
        <v>4500000</v>
      </c>
      <c r="AD333" s="19">
        <f t="shared" ref="AD333:AD335" si="102">AC333/K333*100</f>
        <v>100</v>
      </c>
    </row>
    <row r="334" spans="2:30">
      <c r="B334" s="13">
        <f>B333+1</f>
        <v>3</v>
      </c>
      <c r="C334" s="17" t="s">
        <v>208</v>
      </c>
      <c r="D334" s="39" t="s">
        <v>32</v>
      </c>
      <c r="E334" s="204"/>
      <c r="F334" s="204"/>
      <c r="G334" s="193"/>
      <c r="H334" s="89"/>
      <c r="I334" s="193"/>
      <c r="J334" s="15">
        <v>7569000</v>
      </c>
      <c r="K334" s="99">
        <v>6970000</v>
      </c>
      <c r="L334" s="13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53">
        <f>AB334</f>
        <v>100</v>
      </c>
      <c r="Z334" s="53">
        <f>AD334</f>
        <v>100</v>
      </c>
      <c r="AA334" s="53">
        <v>6970000</v>
      </c>
      <c r="AB334" s="19">
        <f t="shared" si="101"/>
        <v>100</v>
      </c>
      <c r="AC334" s="53">
        <f>AA334</f>
        <v>6970000</v>
      </c>
      <c r="AD334" s="19">
        <f t="shared" si="102"/>
        <v>100</v>
      </c>
    </row>
    <row r="335" spans="2:30">
      <c r="B335" s="343">
        <v>4</v>
      </c>
      <c r="C335" s="93" t="s">
        <v>205</v>
      </c>
      <c r="D335" s="93" t="s">
        <v>34</v>
      </c>
      <c r="E335" s="489"/>
      <c r="F335" s="489"/>
      <c r="G335" s="240"/>
      <c r="H335" s="186"/>
      <c r="I335" s="240"/>
      <c r="J335" s="15">
        <v>2250000</v>
      </c>
      <c r="K335" s="99">
        <v>3000000</v>
      </c>
      <c r="L335" s="45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55">
        <f>AB335</f>
        <v>100</v>
      </c>
      <c r="Z335" s="55">
        <f>AD335</f>
        <v>100</v>
      </c>
      <c r="AA335" s="73">
        <v>3000000</v>
      </c>
      <c r="AB335" s="19">
        <f t="shared" si="101"/>
        <v>100</v>
      </c>
      <c r="AC335" s="73">
        <f>AA335</f>
        <v>3000000</v>
      </c>
      <c r="AD335" s="19">
        <f t="shared" si="102"/>
        <v>100</v>
      </c>
    </row>
    <row r="336" spans="2:30">
      <c r="B336" s="341">
        <v>35</v>
      </c>
      <c r="C336" s="897" t="s">
        <v>1571</v>
      </c>
      <c r="D336" s="897"/>
      <c r="E336" s="508"/>
      <c r="F336" s="508">
        <v>4</v>
      </c>
      <c r="G336" s="499"/>
      <c r="H336" s="577"/>
      <c r="I336" s="499"/>
      <c r="J336" s="342">
        <f>SUM(J332:J335)</f>
        <v>57000000</v>
      </c>
      <c r="K336" s="342">
        <f>SUM(K332:K335)</f>
        <v>63380000</v>
      </c>
      <c r="L336" s="91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4">
        <f>SUM(Y332:Y335)/4</f>
        <v>99.252003680228995</v>
      </c>
      <c r="Z336" s="94">
        <f>SUM(Z332:Z335)/4</f>
        <v>99.252003680228995</v>
      </c>
      <c r="AA336" s="342">
        <f>SUM(AA332:AA335)</f>
        <v>61916620</v>
      </c>
      <c r="AB336" s="94">
        <f>SUM(AB332:AB335)/4</f>
        <v>99.252003680228995</v>
      </c>
      <c r="AC336" s="342">
        <f>SUM(AC332:AC335)</f>
        <v>61916620</v>
      </c>
      <c r="AD336" s="94">
        <f>SUM(AD332:AD335)/4</f>
        <v>99.252003680228995</v>
      </c>
    </row>
    <row r="337" spans="2:31">
      <c r="B337" s="66"/>
      <c r="C337" s="63" t="s">
        <v>1572</v>
      </c>
      <c r="D337" s="64" t="s">
        <v>1573</v>
      </c>
      <c r="E337" s="484"/>
      <c r="F337" s="484"/>
      <c r="G337" s="472"/>
      <c r="H337" s="242"/>
      <c r="I337" s="472"/>
      <c r="J337" s="65"/>
      <c r="K337" s="65"/>
      <c r="L337" s="66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2:31">
      <c r="B338" s="13">
        <v>1</v>
      </c>
      <c r="C338" s="74" t="s">
        <v>203</v>
      </c>
      <c r="D338" s="74" t="s">
        <v>28</v>
      </c>
      <c r="E338" s="204"/>
      <c r="F338" s="204"/>
      <c r="G338" s="193"/>
      <c r="H338" s="89"/>
      <c r="I338" s="193"/>
      <c r="J338" s="15">
        <v>39420000</v>
      </c>
      <c r="K338" s="99">
        <v>44425000</v>
      </c>
      <c r="L338" s="13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53">
        <f>AB338</f>
        <v>77.390127180641528</v>
      </c>
      <c r="Z338" s="53">
        <f>AD338</f>
        <v>77.390127180641528</v>
      </c>
      <c r="AA338" s="22">
        <f>1290904+3739560+11925100+8280000+9145000</f>
        <v>34380564</v>
      </c>
      <c r="AB338" s="19">
        <f>AA338/K338*100</f>
        <v>77.390127180641528</v>
      </c>
      <c r="AC338" s="22">
        <f>AA338</f>
        <v>34380564</v>
      </c>
      <c r="AD338" s="19">
        <f>AC338/K338*100</f>
        <v>77.390127180641528</v>
      </c>
    </row>
    <row r="339" spans="2:31">
      <c r="B339" s="13">
        <v>2</v>
      </c>
      <c r="C339" s="74" t="s">
        <v>210</v>
      </c>
      <c r="D339" s="74" t="s">
        <v>30</v>
      </c>
      <c r="E339" s="204"/>
      <c r="F339" s="204"/>
      <c r="G339" s="193"/>
      <c r="H339" s="89"/>
      <c r="I339" s="193"/>
      <c r="J339" s="15">
        <v>3450000</v>
      </c>
      <c r="K339" s="99">
        <v>3450000</v>
      </c>
      <c r="L339" s="13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53">
        <v>0</v>
      </c>
      <c r="Z339" s="53">
        <f>AD339</f>
        <v>0</v>
      </c>
      <c r="AA339" s="22">
        <v>0</v>
      </c>
      <c r="AB339" s="19">
        <f t="shared" ref="AB339:AB341" si="103">AA339/K339*100</f>
        <v>0</v>
      </c>
      <c r="AC339" s="22">
        <f>AA339</f>
        <v>0</v>
      </c>
      <c r="AD339" s="19">
        <f t="shared" ref="AD339:AD341" si="104">AC339/K339*100</f>
        <v>0</v>
      </c>
    </row>
    <row r="340" spans="2:31">
      <c r="B340" s="344">
        <v>3</v>
      </c>
      <c r="C340" s="93" t="s">
        <v>205</v>
      </c>
      <c r="D340" s="93" t="s">
        <v>34</v>
      </c>
      <c r="E340" s="489"/>
      <c r="F340" s="489"/>
      <c r="G340" s="240"/>
      <c r="H340" s="186"/>
      <c r="I340" s="240"/>
      <c r="J340" s="79">
        <v>14130000</v>
      </c>
      <c r="K340" s="99">
        <v>14130000</v>
      </c>
      <c r="L340" s="45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55">
        <v>100</v>
      </c>
      <c r="Z340" s="55">
        <f>AD340</f>
        <v>100</v>
      </c>
      <c r="AA340" s="73">
        <v>14130000</v>
      </c>
      <c r="AB340" s="19">
        <f t="shared" si="103"/>
        <v>100</v>
      </c>
      <c r="AC340" s="73">
        <f>AA340</f>
        <v>14130000</v>
      </c>
      <c r="AD340" s="19">
        <f t="shared" si="104"/>
        <v>100</v>
      </c>
    </row>
    <row r="341" spans="2:31" ht="25.5">
      <c r="B341" s="345">
        <v>4</v>
      </c>
      <c r="C341" s="346">
        <v>16.239999999999998</v>
      </c>
      <c r="D341" s="49" t="s">
        <v>1574</v>
      </c>
      <c r="E341" s="507"/>
      <c r="F341" s="489"/>
      <c r="G341" s="240"/>
      <c r="H341" s="186"/>
      <c r="I341" s="240"/>
      <c r="J341" s="15">
        <v>75000000</v>
      </c>
      <c r="K341" s="99">
        <v>75000000</v>
      </c>
      <c r="L341" s="32"/>
      <c r="M341" s="33"/>
      <c r="N341" s="33"/>
      <c r="O341" s="33"/>
      <c r="P341" s="33"/>
      <c r="Q341" s="33"/>
      <c r="R341" s="44"/>
      <c r="S341" s="44"/>
      <c r="T341" s="44"/>
      <c r="U341" s="44"/>
      <c r="V341" s="44"/>
      <c r="W341" s="44"/>
      <c r="X341" s="44"/>
      <c r="Y341" s="55">
        <v>100</v>
      </c>
      <c r="Z341" s="55">
        <f>AB341</f>
        <v>99.6</v>
      </c>
      <c r="AA341" s="325">
        <v>74700000</v>
      </c>
      <c r="AB341" s="19">
        <f t="shared" si="103"/>
        <v>99.6</v>
      </c>
      <c r="AC341" s="325"/>
      <c r="AD341" s="19">
        <f t="shared" si="104"/>
        <v>0</v>
      </c>
    </row>
    <row r="342" spans="2:31">
      <c r="B342" s="341">
        <v>36</v>
      </c>
      <c r="C342" s="897" t="s">
        <v>1575</v>
      </c>
      <c r="D342" s="897"/>
      <c r="E342" s="508"/>
      <c r="F342" s="508">
        <v>4</v>
      </c>
      <c r="G342" s="499"/>
      <c r="H342" s="577"/>
      <c r="I342" s="499"/>
      <c r="J342" s="342">
        <f>SUM(J338:J341)</f>
        <v>132000000</v>
      </c>
      <c r="K342" s="342">
        <f>SUM(K338:K341)</f>
        <v>137005000</v>
      </c>
      <c r="L342" s="91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4">
        <f>SUM(Y338:Y341)/4</f>
        <v>69.347531795160378</v>
      </c>
      <c r="Z342" s="94">
        <f>SUM(Z338:Z341)/4</f>
        <v>69.24753179516037</v>
      </c>
      <c r="AA342" s="342">
        <f>SUM(AA338:AA341)</f>
        <v>123210564</v>
      </c>
      <c r="AB342" s="94">
        <f>SUM(AB338:AB340)/4</f>
        <v>44.347531795160378</v>
      </c>
      <c r="AC342" s="342">
        <f>SUM(AC338:AC340)</f>
        <v>48510564</v>
      </c>
      <c r="AD342" s="94">
        <f>SUM(AD338:AD340)/4</f>
        <v>44.347531795160378</v>
      </c>
    </row>
    <row r="343" spans="2:31">
      <c r="B343" s="66"/>
      <c r="C343" s="63" t="s">
        <v>1576</v>
      </c>
      <c r="D343" s="64" t="s">
        <v>1577</v>
      </c>
      <c r="E343" s="484"/>
      <c r="F343" s="484"/>
      <c r="G343" s="472"/>
      <c r="H343" s="242"/>
      <c r="I343" s="472"/>
      <c r="J343" s="65"/>
      <c r="K343" s="65"/>
      <c r="L343" s="66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2:31">
      <c r="B344" s="13">
        <f>B343+1</f>
        <v>1</v>
      </c>
      <c r="C344" s="17" t="s">
        <v>206</v>
      </c>
      <c r="D344" s="39" t="s">
        <v>28</v>
      </c>
      <c r="E344" s="204"/>
      <c r="F344" s="204"/>
      <c r="G344" s="193"/>
      <c r="H344" s="89"/>
      <c r="I344" s="193"/>
      <c r="J344" s="15">
        <v>55000000</v>
      </c>
      <c r="K344" s="99">
        <v>60655000</v>
      </c>
      <c r="L344" s="13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53">
        <f>AB344</f>
        <v>99.013019536724101</v>
      </c>
      <c r="Z344" s="53">
        <f>AD344</f>
        <v>99.013019536724101</v>
      </c>
      <c r="AA344" s="22">
        <v>60056347</v>
      </c>
      <c r="AB344" s="19">
        <f>AA344/K344*100</f>
        <v>99.013019536724101</v>
      </c>
      <c r="AC344" s="22">
        <f>AA344</f>
        <v>60056347</v>
      </c>
      <c r="AD344" s="19">
        <f>AC344/K344*100</f>
        <v>99.013019536724101</v>
      </c>
    </row>
    <row r="345" spans="2:31">
      <c r="B345" s="95">
        <v>2</v>
      </c>
      <c r="C345" s="44" t="s">
        <v>207</v>
      </c>
      <c r="D345" s="78" t="s">
        <v>30</v>
      </c>
      <c r="E345" s="489"/>
      <c r="F345" s="489"/>
      <c r="G345" s="240"/>
      <c r="H345" s="186"/>
      <c r="I345" s="240"/>
      <c r="J345" s="15">
        <v>2000000</v>
      </c>
      <c r="K345" s="99">
        <v>1350000</v>
      </c>
      <c r="L345" s="45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53">
        <f>AB345</f>
        <v>100</v>
      </c>
      <c r="Z345" s="53">
        <f>AD345</f>
        <v>100</v>
      </c>
      <c r="AA345" s="73">
        <v>1350000</v>
      </c>
      <c r="AB345" s="19">
        <f>AA345/K345*100</f>
        <v>100</v>
      </c>
      <c r="AC345" s="22">
        <f>AA345</f>
        <v>1350000</v>
      </c>
      <c r="AD345" s="19">
        <f>AC345/K345*100</f>
        <v>100</v>
      </c>
    </row>
    <row r="346" spans="2:31">
      <c r="B346" s="341">
        <v>37</v>
      </c>
      <c r="C346" s="897" t="s">
        <v>1578</v>
      </c>
      <c r="D346" s="897"/>
      <c r="E346" s="508"/>
      <c r="F346" s="508">
        <v>2</v>
      </c>
      <c r="G346" s="499"/>
      <c r="H346" s="577"/>
      <c r="I346" s="499"/>
      <c r="J346" s="342">
        <f>SUM(J344:J345)</f>
        <v>57000000</v>
      </c>
      <c r="K346" s="342">
        <f>SUM(K344:K345)</f>
        <v>62005000</v>
      </c>
      <c r="L346" s="91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4">
        <f>SUM(Y344:Y345)/2</f>
        <v>99.506509768362051</v>
      </c>
      <c r="Z346" s="94">
        <f>SUM(Z344:Z345)/2</f>
        <v>99.506509768362051</v>
      </c>
      <c r="AA346" s="342">
        <f>SUM(AA344:AA345)</f>
        <v>61406347</v>
      </c>
      <c r="AB346" s="94">
        <f>SUM(AB344:AB345)/2</f>
        <v>99.506509768362051</v>
      </c>
      <c r="AC346" s="342">
        <f>SUM(AC344:AC345)</f>
        <v>61406347</v>
      </c>
      <c r="AD346" s="94">
        <f>SUM(AD344:AD345)/2</f>
        <v>99.506509768362051</v>
      </c>
    </row>
    <row r="347" spans="2:31">
      <c r="B347" s="66"/>
      <c r="C347" s="63" t="s">
        <v>1579</v>
      </c>
      <c r="D347" s="64" t="s">
        <v>1580</v>
      </c>
      <c r="E347" s="484"/>
      <c r="F347" s="484"/>
      <c r="G347" s="472"/>
      <c r="H347" s="242"/>
      <c r="I347" s="472"/>
      <c r="J347" s="65"/>
      <c r="K347" s="65"/>
      <c r="L347" s="66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2:31">
      <c r="B348" s="13">
        <f>B347+1</f>
        <v>1</v>
      </c>
      <c r="C348" s="17" t="s">
        <v>206</v>
      </c>
      <c r="D348" s="39" t="s">
        <v>28</v>
      </c>
      <c r="E348" s="204"/>
      <c r="F348" s="204"/>
      <c r="G348" s="193"/>
      <c r="H348" s="89"/>
      <c r="I348" s="193"/>
      <c r="J348" s="15">
        <v>48278000</v>
      </c>
      <c r="K348" s="99">
        <v>51120000</v>
      </c>
      <c r="L348" s="13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53">
        <f>AB348</f>
        <v>91.082171361502347</v>
      </c>
      <c r="Z348" s="53">
        <f>AD348</f>
        <v>91.082171361502347</v>
      </c>
      <c r="AA348" s="22">
        <f>9145000+2679000+21743141+12994065</f>
        <v>46561206</v>
      </c>
      <c r="AB348" s="19">
        <f>AA348/K348*100</f>
        <v>91.082171361502347</v>
      </c>
      <c r="AC348" s="22">
        <f>AA348</f>
        <v>46561206</v>
      </c>
      <c r="AD348" s="19">
        <f>AC348/K348*100</f>
        <v>91.082171361502347</v>
      </c>
    </row>
    <row r="349" spans="2:31">
      <c r="B349" s="13">
        <f>B348+1</f>
        <v>2</v>
      </c>
      <c r="C349" s="17" t="s">
        <v>207</v>
      </c>
      <c r="D349" s="39" t="s">
        <v>30</v>
      </c>
      <c r="E349" s="204"/>
      <c r="F349" s="204"/>
      <c r="G349" s="193"/>
      <c r="H349" s="89"/>
      <c r="I349" s="193"/>
      <c r="J349" s="15">
        <v>3000000</v>
      </c>
      <c r="K349" s="99">
        <v>3900000</v>
      </c>
      <c r="L349" s="13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53">
        <f>AB349</f>
        <v>100</v>
      </c>
      <c r="Z349" s="53">
        <f>AD349</f>
        <v>100</v>
      </c>
      <c r="AA349" s="22">
        <v>3900000</v>
      </c>
      <c r="AB349" s="19">
        <f t="shared" ref="AB349:AB351" si="105">AA349/K349*100</f>
        <v>100</v>
      </c>
      <c r="AC349" s="22">
        <f>AA349</f>
        <v>3900000</v>
      </c>
      <c r="AD349" s="19">
        <f t="shared" ref="AD349:AD351" si="106">AC349/K349*100</f>
        <v>100</v>
      </c>
      <c r="AE349" s="347"/>
    </row>
    <row r="350" spans="2:31">
      <c r="B350" s="45">
        <f>B349+1</f>
        <v>3</v>
      </c>
      <c r="C350" s="44" t="s">
        <v>208</v>
      </c>
      <c r="D350" s="78" t="s">
        <v>32</v>
      </c>
      <c r="E350" s="489"/>
      <c r="F350" s="489"/>
      <c r="G350" s="240"/>
      <c r="H350" s="186"/>
      <c r="I350" s="240"/>
      <c r="J350" s="15">
        <v>5222000</v>
      </c>
      <c r="K350" s="99">
        <v>0</v>
      </c>
      <c r="L350" s="45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53">
        <f t="shared" ref="Y350:Y351" si="107">AB350</f>
        <v>0</v>
      </c>
      <c r="Z350" s="53">
        <f t="shared" ref="Z350:Z351" si="108">AD350</f>
        <v>0</v>
      </c>
      <c r="AA350" s="55">
        <v>0</v>
      </c>
      <c r="AB350" s="19"/>
      <c r="AC350" s="55">
        <f>AA350</f>
        <v>0</v>
      </c>
      <c r="AD350" s="19"/>
    </row>
    <row r="351" spans="2:31">
      <c r="B351" s="45">
        <f>B350+1</f>
        <v>4</v>
      </c>
      <c r="C351" s="80" t="s">
        <v>209</v>
      </c>
      <c r="D351" s="58" t="s">
        <v>34</v>
      </c>
      <c r="E351" s="347"/>
      <c r="F351" s="347"/>
      <c r="G351" s="498"/>
      <c r="H351" s="105"/>
      <c r="I351" s="498"/>
      <c r="J351" s="598"/>
      <c r="K351" s="99">
        <v>6500000</v>
      </c>
      <c r="L351" s="47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3">
        <f t="shared" si="107"/>
        <v>100</v>
      </c>
      <c r="Z351" s="53">
        <f t="shared" si="108"/>
        <v>100</v>
      </c>
      <c r="AA351" s="111">
        <v>6500000</v>
      </c>
      <c r="AB351" s="19">
        <f t="shared" si="105"/>
        <v>100</v>
      </c>
      <c r="AC351" s="111">
        <f>AA351</f>
        <v>6500000</v>
      </c>
      <c r="AD351" s="19">
        <f t="shared" si="106"/>
        <v>100</v>
      </c>
    </row>
    <row r="352" spans="2:31">
      <c r="B352" s="341">
        <v>38</v>
      </c>
      <c r="C352" s="897" t="s">
        <v>1581</v>
      </c>
      <c r="D352" s="897"/>
      <c r="E352" s="508"/>
      <c r="F352" s="508">
        <v>3</v>
      </c>
      <c r="G352" s="499"/>
      <c r="H352" s="577"/>
      <c r="I352" s="499"/>
      <c r="J352" s="342">
        <f>SUM(J348:J350)</f>
        <v>56500000</v>
      </c>
      <c r="K352" s="342">
        <f>SUM(K348:K351)</f>
        <v>61520000</v>
      </c>
      <c r="L352" s="91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4">
        <f>SUM(Y348:Y351)/3</f>
        <v>97.027390453834116</v>
      </c>
      <c r="Z352" s="94">
        <f>SUM(Z348:Z351)/3</f>
        <v>97.027390453834116</v>
      </c>
      <c r="AA352" s="94">
        <f>SUM(AA348:AA351)</f>
        <v>56961206</v>
      </c>
      <c r="AB352" s="94">
        <f>SUM(AB348:AB351)/3</f>
        <v>97.027390453834116</v>
      </c>
      <c r="AC352" s="342">
        <f>SUM(AC348:AC351)</f>
        <v>56961206</v>
      </c>
      <c r="AD352" s="94">
        <f>SUM(AD348:AD351)/3</f>
        <v>97.027390453834116</v>
      </c>
    </row>
    <row r="353" spans="2:30">
      <c r="B353" s="66"/>
      <c r="C353" s="63" t="s">
        <v>1582</v>
      </c>
      <c r="D353" s="96" t="s">
        <v>1583</v>
      </c>
      <c r="E353" s="484"/>
      <c r="F353" s="484"/>
      <c r="G353" s="472"/>
      <c r="H353" s="242"/>
      <c r="I353" s="472"/>
      <c r="J353" s="65"/>
      <c r="K353" s="65"/>
      <c r="L353" s="66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2:30" ht="18" customHeight="1">
      <c r="B354" s="97">
        <v>1</v>
      </c>
      <c r="C354" s="17" t="s">
        <v>206</v>
      </c>
      <c r="D354" s="348" t="s">
        <v>28</v>
      </c>
      <c r="E354" s="204"/>
      <c r="F354" s="204"/>
      <c r="G354" s="193"/>
      <c r="H354" s="89"/>
      <c r="I354" s="193"/>
      <c r="J354" s="15">
        <v>52750000</v>
      </c>
      <c r="K354" s="99">
        <v>54018000</v>
      </c>
      <c r="L354" s="13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98">
        <f>AB354</f>
        <v>95.737407901070014</v>
      </c>
      <c r="Z354" s="98">
        <f>AB354</f>
        <v>95.737407901070014</v>
      </c>
      <c r="AA354" s="99">
        <v>51715433</v>
      </c>
      <c r="AB354" s="98">
        <f>AA354/K354*100</f>
        <v>95.737407901070014</v>
      </c>
      <c r="AC354" s="99">
        <f>AA354</f>
        <v>51715433</v>
      </c>
      <c r="AD354" s="98">
        <f>AC354/K354*100</f>
        <v>95.737407901070014</v>
      </c>
    </row>
    <row r="355" spans="2:30" ht="17.25" customHeight="1">
      <c r="B355" s="95">
        <v>2</v>
      </c>
      <c r="C355" s="44" t="s">
        <v>207</v>
      </c>
      <c r="D355" s="349" t="s">
        <v>30</v>
      </c>
      <c r="E355" s="489"/>
      <c r="F355" s="489"/>
      <c r="G355" s="240"/>
      <c r="H355" s="186"/>
      <c r="I355" s="240"/>
      <c r="J355" s="15">
        <v>2250000</v>
      </c>
      <c r="K355" s="99">
        <v>2250000</v>
      </c>
      <c r="L355" s="45" t="s">
        <v>1</v>
      </c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20">
        <f t="shared" ref="Y355:Y356" si="109">AB355</f>
        <v>100</v>
      </c>
      <c r="Z355" s="100">
        <f>AD355</f>
        <v>100</v>
      </c>
      <c r="AA355" s="102">
        <v>2250000</v>
      </c>
      <c r="AB355" s="20">
        <f t="shared" ref="AB355:AB356" si="110">AA355/K355*100</f>
        <v>100</v>
      </c>
      <c r="AC355" s="102">
        <f>AA355</f>
        <v>2250000</v>
      </c>
      <c r="AD355" s="20">
        <f t="shared" ref="AD355:AD356" si="111">AC355/K355*100</f>
        <v>100</v>
      </c>
    </row>
    <row r="356" spans="2:30" ht="20.25" customHeight="1">
      <c r="B356" s="350">
        <v>3</v>
      </c>
      <c r="C356" s="60" t="s">
        <v>205</v>
      </c>
      <c r="D356" s="61" t="s">
        <v>34</v>
      </c>
      <c r="E356" s="507"/>
      <c r="F356" s="489"/>
      <c r="G356" s="240"/>
      <c r="H356" s="186"/>
      <c r="I356" s="240"/>
      <c r="J356" s="15">
        <v>2000000</v>
      </c>
      <c r="K356" s="99">
        <v>5737000</v>
      </c>
      <c r="L356" s="32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98">
        <f t="shared" si="109"/>
        <v>97.38539306257627</v>
      </c>
      <c r="Z356" s="101">
        <f>AD356</f>
        <v>97.38539306257627</v>
      </c>
      <c r="AA356" s="352">
        <v>5587000</v>
      </c>
      <c r="AB356" s="98">
        <f t="shared" si="110"/>
        <v>97.38539306257627</v>
      </c>
      <c r="AC356" s="352">
        <f>AA356</f>
        <v>5587000</v>
      </c>
      <c r="AD356" s="98">
        <f t="shared" si="111"/>
        <v>97.38539306257627</v>
      </c>
    </row>
    <row r="357" spans="2:30">
      <c r="B357" s="341">
        <v>39</v>
      </c>
      <c r="C357" s="898" t="s">
        <v>1584</v>
      </c>
      <c r="D357" s="898"/>
      <c r="E357" s="508"/>
      <c r="F357" s="508">
        <v>3</v>
      </c>
      <c r="G357" s="499"/>
      <c r="H357" s="577"/>
      <c r="I357" s="499"/>
      <c r="J357" s="342">
        <f>SUM(J354:J356)</f>
        <v>57000000</v>
      </c>
      <c r="K357" s="342">
        <f>SUM(K354:K356)</f>
        <v>62005000</v>
      </c>
      <c r="L357" s="353"/>
      <c r="M357" s="354"/>
      <c r="N357" s="354"/>
      <c r="O357" s="354"/>
      <c r="P357" s="354"/>
      <c r="Q357" s="354"/>
      <c r="R357" s="354"/>
      <c r="S357" s="354"/>
      <c r="T357" s="354"/>
      <c r="U357" s="354"/>
      <c r="V357" s="354"/>
      <c r="W357" s="354"/>
      <c r="X357" s="354"/>
      <c r="Y357" s="104">
        <f>SUM(Y354:Y356)/3</f>
        <v>97.707600321215423</v>
      </c>
      <c r="Z357" s="104">
        <f>SUM(Z354:Z356)/3</f>
        <v>97.707600321215423</v>
      </c>
      <c r="AA357" s="103">
        <f>SUM(AA354:AA356)</f>
        <v>59552433</v>
      </c>
      <c r="AB357" s="104">
        <f>SUM(AB354:AB356)/3</f>
        <v>97.707600321215423</v>
      </c>
      <c r="AC357" s="103">
        <f>SUM(AC354:AC356)</f>
        <v>59552433</v>
      </c>
      <c r="AD357" s="104">
        <f>SUM(AD354:AD356)/3</f>
        <v>97.707600321215423</v>
      </c>
    </row>
    <row r="358" spans="2:30">
      <c r="B358" s="66"/>
      <c r="C358" s="63" t="s">
        <v>1585</v>
      </c>
      <c r="D358" s="64" t="s">
        <v>1586</v>
      </c>
      <c r="E358" s="484"/>
      <c r="F358" s="484"/>
      <c r="G358" s="472"/>
      <c r="H358" s="242"/>
      <c r="I358" s="472"/>
      <c r="J358" s="65"/>
      <c r="K358" s="65"/>
      <c r="L358" s="66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2:30">
      <c r="B359" s="13">
        <f>B358+1</f>
        <v>1</v>
      </c>
      <c r="C359" s="74" t="s">
        <v>203</v>
      </c>
      <c r="D359" s="74" t="s">
        <v>28</v>
      </c>
      <c r="E359" s="204"/>
      <c r="F359" s="204"/>
      <c r="G359" s="193"/>
      <c r="H359" s="89"/>
      <c r="I359" s="193"/>
      <c r="J359" s="15">
        <v>43850000</v>
      </c>
      <c r="K359" s="99">
        <v>46101000</v>
      </c>
      <c r="L359" s="13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53">
        <f>AB359</f>
        <v>93.206372963710109</v>
      </c>
      <c r="Z359" s="53">
        <f>AD359</f>
        <v>93.206372963710109</v>
      </c>
      <c r="AA359" s="22">
        <f>2476070+2961660+2981560+1435000+2187620+2640000+2250600+13186560+2880000+9970000</f>
        <v>42969070</v>
      </c>
      <c r="AB359" s="19">
        <f>AA359/K359*100</f>
        <v>93.206372963710109</v>
      </c>
      <c r="AC359" s="22">
        <f>AA359</f>
        <v>42969070</v>
      </c>
      <c r="AD359" s="19">
        <f>AC359/K359*100</f>
        <v>93.206372963710109</v>
      </c>
    </row>
    <row r="360" spans="2:30">
      <c r="B360" s="13">
        <f>B359+1</f>
        <v>2</v>
      </c>
      <c r="C360" s="74" t="s">
        <v>210</v>
      </c>
      <c r="D360" s="74" t="s">
        <v>30</v>
      </c>
      <c r="E360" s="204"/>
      <c r="F360" s="204"/>
      <c r="G360" s="193"/>
      <c r="H360" s="89"/>
      <c r="I360" s="193"/>
      <c r="J360" s="15">
        <v>3000000</v>
      </c>
      <c r="K360" s="99">
        <v>3000000</v>
      </c>
      <c r="L360" s="13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53">
        <f>AB360</f>
        <v>77.333333333333329</v>
      </c>
      <c r="Z360" s="53">
        <f>AD360</f>
        <v>77.333333333333329</v>
      </c>
      <c r="AA360" s="22">
        <f>1090000+570000+300000+360000</f>
        <v>2320000</v>
      </c>
      <c r="AB360" s="19">
        <f t="shared" ref="AB360:AB361" si="112">AA360/K360*100</f>
        <v>77.333333333333329</v>
      </c>
      <c r="AC360" s="22">
        <f>AA360</f>
        <v>2320000</v>
      </c>
      <c r="AD360" s="19">
        <f t="shared" ref="AD360:AD361" si="113">AC360/K360*100</f>
        <v>77.333333333333329</v>
      </c>
    </row>
    <row r="361" spans="2:30">
      <c r="B361" s="45">
        <v>3</v>
      </c>
      <c r="C361" s="93" t="s">
        <v>205</v>
      </c>
      <c r="D361" s="93" t="s">
        <v>34</v>
      </c>
      <c r="E361" s="489"/>
      <c r="F361" s="489"/>
      <c r="G361" s="240"/>
      <c r="H361" s="186"/>
      <c r="I361" s="240"/>
      <c r="J361" s="15">
        <v>10150000</v>
      </c>
      <c r="K361" s="99">
        <v>13729000</v>
      </c>
      <c r="L361" s="45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55">
        <f>AB361</f>
        <v>99.424575715638426</v>
      </c>
      <c r="Z361" s="55">
        <f>AD361</f>
        <v>99.424575715638426</v>
      </c>
      <c r="AA361" s="73">
        <f>3500000+10150000</f>
        <v>13650000</v>
      </c>
      <c r="AB361" s="19">
        <f t="shared" si="112"/>
        <v>99.424575715638426</v>
      </c>
      <c r="AC361" s="73">
        <f>AA361</f>
        <v>13650000</v>
      </c>
      <c r="AD361" s="19">
        <f t="shared" si="113"/>
        <v>99.424575715638426</v>
      </c>
    </row>
    <row r="362" spans="2:30">
      <c r="B362" s="341">
        <v>40</v>
      </c>
      <c r="C362" s="897" t="s">
        <v>1587</v>
      </c>
      <c r="D362" s="897"/>
      <c r="E362" s="508"/>
      <c r="F362" s="508">
        <v>3</v>
      </c>
      <c r="G362" s="499"/>
      <c r="H362" s="577"/>
      <c r="I362" s="499"/>
      <c r="J362" s="342">
        <f>SUM(J359:J361)</f>
        <v>57000000</v>
      </c>
      <c r="K362" s="342">
        <f>SUM(K359:K361)</f>
        <v>62830000</v>
      </c>
      <c r="L362" s="91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355">
        <f>SUM(Y359:Y361)/3</f>
        <v>89.988094004227278</v>
      </c>
      <c r="Z362" s="355">
        <f>SUM(Z359:Z361)/3</f>
        <v>89.988094004227278</v>
      </c>
      <c r="AA362" s="834">
        <f>SUM(AA359:AA361)</f>
        <v>58939070</v>
      </c>
      <c r="AB362" s="355">
        <f>SUM(AB359:AB361)/3</f>
        <v>89.988094004227278</v>
      </c>
      <c r="AC362" s="835">
        <f>SUM(AC359:AC361)</f>
        <v>58939070</v>
      </c>
      <c r="AD362" s="355">
        <f>SUM(AD359:AD361)/3</f>
        <v>89.988094004227278</v>
      </c>
    </row>
    <row r="363" spans="2:30">
      <c r="B363" s="66"/>
      <c r="C363" s="63" t="s">
        <v>1588</v>
      </c>
      <c r="D363" s="64" t="s">
        <v>1589</v>
      </c>
      <c r="E363" s="484"/>
      <c r="F363" s="484"/>
      <c r="G363" s="472"/>
      <c r="H363" s="242"/>
      <c r="I363" s="472"/>
      <c r="J363" s="65"/>
      <c r="K363" s="65"/>
      <c r="L363" s="66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2:30">
      <c r="B364" s="13">
        <f>B363+1</f>
        <v>1</v>
      </c>
      <c r="C364" s="17" t="s">
        <v>206</v>
      </c>
      <c r="D364" s="39" t="s">
        <v>28</v>
      </c>
      <c r="E364" s="204"/>
      <c r="F364" s="204"/>
      <c r="G364" s="193"/>
      <c r="H364" s="89"/>
      <c r="I364" s="193"/>
      <c r="J364" s="15">
        <v>37642000</v>
      </c>
      <c r="K364" s="99">
        <v>43197000</v>
      </c>
      <c r="L364" s="13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53">
        <f>AB364</f>
        <v>0</v>
      </c>
      <c r="Z364" s="53">
        <f>AD364</f>
        <v>0</v>
      </c>
      <c r="AA364" s="53">
        <v>0</v>
      </c>
      <c r="AB364" s="19">
        <f>AA364/K364*100</f>
        <v>0</v>
      </c>
      <c r="AC364" s="53">
        <f>AA364</f>
        <v>0</v>
      </c>
      <c r="AD364" s="19">
        <f>AC364/K364*100</f>
        <v>0</v>
      </c>
    </row>
    <row r="365" spans="2:30">
      <c r="B365" s="13">
        <f>B364+1</f>
        <v>2</v>
      </c>
      <c r="C365" s="17" t="s">
        <v>207</v>
      </c>
      <c r="D365" s="39" t="s">
        <v>30</v>
      </c>
      <c r="E365" s="204"/>
      <c r="F365" s="204"/>
      <c r="G365" s="193"/>
      <c r="H365" s="89"/>
      <c r="I365" s="193"/>
      <c r="J365" s="15">
        <v>3210000</v>
      </c>
      <c r="K365" s="99">
        <v>3210000</v>
      </c>
      <c r="L365" s="13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53">
        <f>AB365</f>
        <v>0</v>
      </c>
      <c r="Z365" s="53">
        <f>AD365</f>
        <v>0</v>
      </c>
      <c r="AA365" s="53">
        <v>0</v>
      </c>
      <c r="AB365" s="19">
        <f t="shared" ref="AB365:AB368" si="114">AA365/K365*100</f>
        <v>0</v>
      </c>
      <c r="AC365" s="53">
        <f>AA365</f>
        <v>0</v>
      </c>
      <c r="AD365" s="19">
        <f t="shared" ref="AD365:AD368" si="115">AC365/K365*100</f>
        <v>0</v>
      </c>
    </row>
    <row r="366" spans="2:30">
      <c r="B366" s="45">
        <f>B365+1</f>
        <v>3</v>
      </c>
      <c r="C366" s="44" t="s">
        <v>208</v>
      </c>
      <c r="D366" s="78" t="s">
        <v>32</v>
      </c>
      <c r="E366" s="489"/>
      <c r="F366" s="489"/>
      <c r="G366" s="240"/>
      <c r="H366" s="186"/>
      <c r="I366" s="240"/>
      <c r="J366" s="15">
        <v>9148000</v>
      </c>
      <c r="K366" s="99">
        <v>9148000</v>
      </c>
      <c r="L366" s="45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55">
        <f>AB366</f>
        <v>0</v>
      </c>
      <c r="Z366" s="55">
        <f>AD366</f>
        <v>0</v>
      </c>
      <c r="AA366" s="55">
        <v>0</v>
      </c>
      <c r="AB366" s="19">
        <f t="shared" si="114"/>
        <v>0</v>
      </c>
      <c r="AC366" s="55">
        <f>AA366</f>
        <v>0</v>
      </c>
      <c r="AD366" s="19">
        <f t="shared" si="115"/>
        <v>0</v>
      </c>
    </row>
    <row r="367" spans="2:30">
      <c r="B367" s="45">
        <v>4</v>
      </c>
      <c r="C367" s="356" t="s">
        <v>205</v>
      </c>
      <c r="D367" s="317" t="s">
        <v>34</v>
      </c>
      <c r="E367" s="489"/>
      <c r="F367" s="489"/>
      <c r="G367" s="240"/>
      <c r="H367" s="186"/>
      <c r="I367" s="240"/>
      <c r="J367" s="79">
        <v>7000000</v>
      </c>
      <c r="K367" s="99">
        <v>7000000</v>
      </c>
      <c r="L367" s="45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55">
        <f>AB367</f>
        <v>0</v>
      </c>
      <c r="Z367" s="55">
        <f>AD367</f>
        <v>0</v>
      </c>
      <c r="AA367" s="55">
        <v>0</v>
      </c>
      <c r="AB367" s="19">
        <f t="shared" si="114"/>
        <v>0</v>
      </c>
      <c r="AC367" s="55"/>
      <c r="AD367" s="19">
        <f t="shared" si="115"/>
        <v>0</v>
      </c>
    </row>
    <row r="368" spans="2:30" ht="25.5">
      <c r="B368" s="32">
        <v>5</v>
      </c>
      <c r="C368" s="329" t="s">
        <v>1590</v>
      </c>
      <c r="D368" s="21" t="s">
        <v>1591</v>
      </c>
      <c r="E368" s="507"/>
      <c r="F368" s="489"/>
      <c r="G368" s="240"/>
      <c r="H368" s="186"/>
      <c r="I368" s="240"/>
      <c r="J368" s="15">
        <v>47025000</v>
      </c>
      <c r="K368" s="99">
        <v>47025000</v>
      </c>
      <c r="L368" s="32"/>
      <c r="M368" s="33"/>
      <c r="N368" s="33"/>
      <c r="O368" s="33"/>
      <c r="P368" s="33"/>
      <c r="Q368" s="33"/>
      <c r="R368" s="44"/>
      <c r="S368" s="44"/>
      <c r="T368" s="44"/>
      <c r="U368" s="44"/>
      <c r="V368" s="44"/>
      <c r="W368" s="44"/>
      <c r="X368" s="44"/>
      <c r="Y368" s="55">
        <f>AB368</f>
        <v>95.374800637958529</v>
      </c>
      <c r="Z368" s="55">
        <f>AD368</f>
        <v>95.374800637958529</v>
      </c>
      <c r="AA368" s="55">
        <v>44850000</v>
      </c>
      <c r="AB368" s="19">
        <f t="shared" si="114"/>
        <v>95.374800637958529</v>
      </c>
      <c r="AC368" s="56">
        <f>AA368</f>
        <v>44850000</v>
      </c>
      <c r="AD368" s="19">
        <f t="shared" si="115"/>
        <v>95.374800637958529</v>
      </c>
    </row>
    <row r="369" spans="2:33">
      <c r="B369" s="341">
        <v>41</v>
      </c>
      <c r="C369" s="897" t="s">
        <v>1592</v>
      </c>
      <c r="D369" s="897"/>
      <c r="E369" s="508"/>
      <c r="F369" s="508">
        <v>5</v>
      </c>
      <c r="G369" s="499"/>
      <c r="H369" s="577"/>
      <c r="I369" s="499"/>
      <c r="J369" s="342">
        <f>SUM(J364:J368)</f>
        <v>104025000</v>
      </c>
      <c r="K369" s="342">
        <f>SUM(K364:K368)</f>
        <v>109580000</v>
      </c>
      <c r="L369" s="91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4">
        <f>SUM(Y364:Y368)/5</f>
        <v>19.074960127591705</v>
      </c>
      <c r="Z369" s="94">
        <f>SUM(Z364:Z368)/5</f>
        <v>19.074960127591705</v>
      </c>
      <c r="AA369" s="342">
        <f>SUM(AA364:AA368)</f>
        <v>44850000</v>
      </c>
      <c r="AB369" s="94">
        <f>SUM(AB364:AB368)/5</f>
        <v>19.074960127591705</v>
      </c>
      <c r="AC369" s="342">
        <f>SUM(AC364:AC368)</f>
        <v>44850000</v>
      </c>
      <c r="AD369" s="94">
        <f>SUM(AD364:AD368)/5</f>
        <v>19.074960127591705</v>
      </c>
    </row>
    <row r="370" spans="2:33">
      <c r="B370" s="66"/>
      <c r="C370" s="63" t="s">
        <v>1593</v>
      </c>
      <c r="D370" s="64" t="s">
        <v>1594</v>
      </c>
      <c r="E370" s="484"/>
      <c r="F370" s="484"/>
      <c r="G370" s="472"/>
      <c r="H370" s="242"/>
      <c r="I370" s="472"/>
      <c r="J370" s="65"/>
      <c r="K370" s="65"/>
      <c r="L370" s="66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2:33">
      <c r="B371" s="13">
        <f>B370+1</f>
        <v>1</v>
      </c>
      <c r="C371" s="17" t="s">
        <v>206</v>
      </c>
      <c r="D371" s="39" t="s">
        <v>28</v>
      </c>
      <c r="E371" s="204"/>
      <c r="F371" s="204"/>
      <c r="G371" s="193"/>
      <c r="H371" s="89"/>
      <c r="I371" s="193"/>
      <c r="J371" s="15">
        <v>44025000</v>
      </c>
      <c r="K371" s="99">
        <v>48755000</v>
      </c>
      <c r="L371" s="13"/>
      <c r="M371" s="17"/>
      <c r="N371" s="17" t="s">
        <v>1</v>
      </c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53">
        <f>AB371</f>
        <v>89.711233719618505</v>
      </c>
      <c r="Z371" s="53">
        <f>AD371</f>
        <v>89.711233719618505</v>
      </c>
      <c r="AA371" s="22">
        <f>4860000+8870000+5699000+636000+108000+570000+1430652+5733540+12251520+600000+2980000</f>
        <v>43738712</v>
      </c>
      <c r="AB371" s="19">
        <f>AA371/K371*100</f>
        <v>89.711233719618505</v>
      </c>
      <c r="AC371" s="22">
        <f>AA371</f>
        <v>43738712</v>
      </c>
      <c r="AD371" s="19">
        <f>AC371/K371*100</f>
        <v>89.711233719618505</v>
      </c>
    </row>
    <row r="372" spans="2:33">
      <c r="B372" s="13">
        <f>B371+1</f>
        <v>2</v>
      </c>
      <c r="C372" s="17" t="s">
        <v>207</v>
      </c>
      <c r="D372" s="39" t="s">
        <v>30</v>
      </c>
      <c r="E372" s="204"/>
      <c r="F372" s="204"/>
      <c r="G372" s="193"/>
      <c r="H372" s="89"/>
      <c r="I372" s="193"/>
      <c r="J372" s="15">
        <v>2975000</v>
      </c>
      <c r="K372" s="99">
        <v>2975000</v>
      </c>
      <c r="L372" s="13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53">
        <f>AB372</f>
        <v>100</v>
      </c>
      <c r="Z372" s="53">
        <f>AD372</f>
        <v>100</v>
      </c>
      <c r="AA372" s="22">
        <v>2975000</v>
      </c>
      <c r="AB372" s="19">
        <f t="shared" ref="AB372:AB374" si="116">AA372/K372*100</f>
        <v>100</v>
      </c>
      <c r="AC372" s="22">
        <f>AA372</f>
        <v>2975000</v>
      </c>
      <c r="AD372" s="19">
        <f t="shared" ref="AD372:AD374" si="117">AC372/K372*100</f>
        <v>100</v>
      </c>
    </row>
    <row r="373" spans="2:33">
      <c r="B373" s="45">
        <f>B372+1</f>
        <v>3</v>
      </c>
      <c r="C373" s="44" t="s">
        <v>208</v>
      </c>
      <c r="D373" s="78" t="s">
        <v>32</v>
      </c>
      <c r="E373" s="489"/>
      <c r="F373" s="489"/>
      <c r="G373" s="240"/>
      <c r="H373" s="186"/>
      <c r="I373" s="240"/>
      <c r="J373" s="15">
        <v>10000000</v>
      </c>
      <c r="K373" s="99">
        <v>10000000</v>
      </c>
      <c r="L373" s="45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55">
        <f>AB373</f>
        <v>81.75</v>
      </c>
      <c r="Z373" s="55">
        <f>AD373</f>
        <v>81.75</v>
      </c>
      <c r="AA373" s="73">
        <f>3296000+2879000+2000000</f>
        <v>8175000</v>
      </c>
      <c r="AB373" s="19">
        <f t="shared" si="116"/>
        <v>81.75</v>
      </c>
      <c r="AC373" s="73">
        <f>AA373</f>
        <v>8175000</v>
      </c>
      <c r="AD373" s="19">
        <f t="shared" si="117"/>
        <v>81.75</v>
      </c>
      <c r="AF373" s="105"/>
      <c r="AG373" s="105"/>
    </row>
    <row r="374" spans="2:33">
      <c r="B374" s="45">
        <f>B373+1</f>
        <v>4</v>
      </c>
      <c r="C374" s="80" t="s">
        <v>209</v>
      </c>
      <c r="D374" s="58" t="s">
        <v>34</v>
      </c>
      <c r="E374" s="347"/>
      <c r="F374" s="347"/>
      <c r="G374" s="498"/>
      <c r="H374" s="105"/>
      <c r="I374" s="498"/>
      <c r="J374" s="598"/>
      <c r="K374" s="99">
        <v>100000000</v>
      </c>
      <c r="L374" s="47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111">
        <v>100</v>
      </c>
      <c r="Z374" s="55">
        <v>100</v>
      </c>
      <c r="AA374" s="112">
        <v>99862000</v>
      </c>
      <c r="AB374" s="19">
        <f t="shared" si="116"/>
        <v>99.861999999999995</v>
      </c>
      <c r="AC374" s="112">
        <f>AA374</f>
        <v>99862000</v>
      </c>
      <c r="AD374" s="19">
        <f t="shared" si="117"/>
        <v>99.861999999999995</v>
      </c>
      <c r="AF374" s="105"/>
      <c r="AG374" s="105"/>
    </row>
    <row r="375" spans="2:33">
      <c r="B375" s="341">
        <v>42</v>
      </c>
      <c r="C375" s="897" t="s">
        <v>1595</v>
      </c>
      <c r="D375" s="897"/>
      <c r="E375" s="508"/>
      <c r="F375" s="508">
        <v>4</v>
      </c>
      <c r="G375" s="499"/>
      <c r="H375" s="577"/>
      <c r="I375" s="499"/>
      <c r="J375" s="342">
        <f>SUM(J371:J373)</f>
        <v>57000000</v>
      </c>
      <c r="K375" s="342">
        <f>SUM(K371:K374)</f>
        <v>161730000</v>
      </c>
      <c r="L375" s="91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4">
        <f>SUM(Y371:Y374)/4</f>
        <v>92.86530842990463</v>
      </c>
      <c r="Z375" s="94">
        <f>SUM(Z371:Z374)/4</f>
        <v>92.86530842990463</v>
      </c>
      <c r="AA375" s="342">
        <f>SUM(AA371:AA374)</f>
        <v>154750712</v>
      </c>
      <c r="AB375" s="94">
        <f>SUM(AB371:AB374)/4</f>
        <v>92.830808429904636</v>
      </c>
      <c r="AC375" s="342">
        <f>SUM(AC371:AC374)</f>
        <v>154750712</v>
      </c>
      <c r="AD375" s="94">
        <f>SUM(AD371:AD374)/4</f>
        <v>92.830808429904636</v>
      </c>
    </row>
    <row r="376" spans="2:33">
      <c r="B376" s="66"/>
      <c r="C376" s="63" t="s">
        <v>1596</v>
      </c>
      <c r="D376" s="64" t="s">
        <v>1597</v>
      </c>
      <c r="E376" s="484"/>
      <c r="F376" s="484"/>
      <c r="G376" s="472"/>
      <c r="H376" s="242"/>
      <c r="I376" s="472"/>
      <c r="J376" s="65"/>
      <c r="K376" s="65"/>
      <c r="L376" s="66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2:33">
      <c r="B377" s="57">
        <v>1</v>
      </c>
      <c r="C377" s="17" t="s">
        <v>206</v>
      </c>
      <c r="D377" s="39" t="s">
        <v>28</v>
      </c>
      <c r="E377" s="204"/>
      <c r="F377" s="204"/>
      <c r="G377" s="193"/>
      <c r="H377" s="89"/>
      <c r="I377" s="193"/>
      <c r="J377" s="15">
        <v>44990000</v>
      </c>
      <c r="K377" s="99">
        <v>53805000</v>
      </c>
      <c r="L377" s="13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53">
        <f>AB377</f>
        <v>81.26169500975746</v>
      </c>
      <c r="Z377" s="53">
        <f>AD377</f>
        <v>81.26169500975746</v>
      </c>
      <c r="AA377" s="22">
        <v>43722855</v>
      </c>
      <c r="AB377" s="19">
        <f>AA377/K377*100</f>
        <v>81.26169500975746</v>
      </c>
      <c r="AC377" s="22">
        <f>AA377</f>
        <v>43722855</v>
      </c>
      <c r="AD377" s="19">
        <f>AC377/K377*100</f>
        <v>81.26169500975746</v>
      </c>
    </row>
    <row r="378" spans="2:33">
      <c r="B378" s="13">
        <v>2</v>
      </c>
      <c r="C378" s="17" t="s">
        <v>207</v>
      </c>
      <c r="D378" s="39" t="s">
        <v>30</v>
      </c>
      <c r="E378" s="204"/>
      <c r="F378" s="204"/>
      <c r="G378" s="193"/>
      <c r="H378" s="89"/>
      <c r="I378" s="193"/>
      <c r="J378" s="15">
        <v>2010000</v>
      </c>
      <c r="K378" s="99">
        <v>2010000</v>
      </c>
      <c r="L378" s="13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53">
        <f>AB378</f>
        <v>74.626865671641795</v>
      </c>
      <c r="Z378" s="53">
        <f>AD378</f>
        <v>74.626865671641795</v>
      </c>
      <c r="AA378" s="22">
        <v>1500000</v>
      </c>
      <c r="AB378" s="19">
        <f t="shared" ref="AB378:AB379" si="118">AA378/K378*100</f>
        <v>74.626865671641795</v>
      </c>
      <c r="AC378" s="22">
        <f>AA378</f>
        <v>1500000</v>
      </c>
      <c r="AD378" s="19">
        <f t="shared" ref="AD378:AD379" si="119">AC378/K378*100</f>
        <v>74.626865671641795</v>
      </c>
    </row>
    <row r="379" spans="2:33">
      <c r="B379" s="13">
        <v>3</v>
      </c>
      <c r="C379" s="17" t="s">
        <v>208</v>
      </c>
      <c r="D379" s="39" t="s">
        <v>32</v>
      </c>
      <c r="E379" s="489"/>
      <c r="F379" s="489"/>
      <c r="G379" s="240"/>
      <c r="H379" s="186"/>
      <c r="I379" s="240"/>
      <c r="J379" s="15">
        <v>10000000</v>
      </c>
      <c r="K379" s="99">
        <v>7015000</v>
      </c>
      <c r="L379" s="45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53">
        <f>AB379</f>
        <v>100</v>
      </c>
      <c r="Z379" s="55">
        <f>AD379</f>
        <v>100</v>
      </c>
      <c r="AA379" s="73">
        <v>7015000</v>
      </c>
      <c r="AB379" s="19">
        <f t="shared" si="118"/>
        <v>100</v>
      </c>
      <c r="AC379" s="73">
        <f>AA379</f>
        <v>7015000</v>
      </c>
      <c r="AD379" s="19">
        <f t="shared" si="119"/>
        <v>100</v>
      </c>
    </row>
    <row r="380" spans="2:33">
      <c r="B380" s="341">
        <v>43</v>
      </c>
      <c r="C380" s="897" t="s">
        <v>1598</v>
      </c>
      <c r="D380" s="897"/>
      <c r="E380" s="508"/>
      <c r="F380" s="508">
        <v>3</v>
      </c>
      <c r="G380" s="499"/>
      <c r="H380" s="577"/>
      <c r="I380" s="499"/>
      <c r="J380" s="342">
        <f>SUM(J377:J379)</f>
        <v>57000000</v>
      </c>
      <c r="K380" s="342">
        <f>SUM(K377:K379)</f>
        <v>62830000</v>
      </c>
      <c r="L380" s="91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104">
        <f>SUM(Y377:Y379)/3</f>
        <v>85.296186893799756</v>
      </c>
      <c r="Z380" s="104">
        <f>SUM(Z377:Z379)/3</f>
        <v>85.296186893799756</v>
      </c>
      <c r="AA380" s="103">
        <f>SUM(AA377:AA379)</f>
        <v>52237855</v>
      </c>
      <c r="AB380" s="104">
        <f>SUM(AB377:AB379)/3</f>
        <v>85.296186893799756</v>
      </c>
      <c r="AC380" s="103">
        <f>SUM(AC377:AC379)</f>
        <v>52237855</v>
      </c>
      <c r="AD380" s="104">
        <f>SUM(AD377:AD379)/3</f>
        <v>85.296186893799756</v>
      </c>
    </row>
    <row r="381" spans="2:33">
      <c r="B381" s="66"/>
      <c r="C381" s="63" t="s">
        <v>1599</v>
      </c>
      <c r="D381" s="64" t="s">
        <v>1600</v>
      </c>
      <c r="E381" s="484"/>
      <c r="F381" s="484"/>
      <c r="G381" s="472"/>
      <c r="H381" s="242"/>
      <c r="I381" s="472"/>
      <c r="J381" s="65"/>
      <c r="K381" s="65"/>
      <c r="L381" s="66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2:33">
      <c r="B382" s="57">
        <v>1</v>
      </c>
      <c r="C382" s="74" t="s">
        <v>203</v>
      </c>
      <c r="D382" s="74" t="s">
        <v>28</v>
      </c>
      <c r="E382" s="204"/>
      <c r="F382" s="204"/>
      <c r="G382" s="193"/>
      <c r="H382" s="89"/>
      <c r="I382" s="193"/>
      <c r="J382" s="15">
        <v>40562000</v>
      </c>
      <c r="K382" s="99">
        <v>44229000</v>
      </c>
      <c r="L382" s="13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53">
        <f>AB382</f>
        <v>89.55429469352687</v>
      </c>
      <c r="Z382" s="53">
        <f>AD382</f>
        <v>89.55429469352687</v>
      </c>
      <c r="AA382" s="22">
        <f>2935800+330000+436000+4315824+1068000+6450345+3003000+4620000+9970000+6480000</f>
        <v>39608969</v>
      </c>
      <c r="AB382" s="19">
        <f>AA382/K382*100</f>
        <v>89.55429469352687</v>
      </c>
      <c r="AC382" s="53">
        <f>AA382</f>
        <v>39608969</v>
      </c>
      <c r="AD382" s="19">
        <f>AC382/K382*100</f>
        <v>89.55429469352687</v>
      </c>
    </row>
    <row r="383" spans="2:33">
      <c r="B383" s="13">
        <v>2</v>
      </c>
      <c r="C383" s="74" t="s">
        <v>210</v>
      </c>
      <c r="D383" s="74" t="s">
        <v>30</v>
      </c>
      <c r="E383" s="204"/>
      <c r="F383" s="204"/>
      <c r="G383" s="193"/>
      <c r="H383" s="89"/>
      <c r="I383" s="193"/>
      <c r="J383" s="15">
        <v>2000000</v>
      </c>
      <c r="K383" s="99">
        <v>2000000</v>
      </c>
      <c r="L383" s="13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53">
        <f>AB383</f>
        <v>86</v>
      </c>
      <c r="Z383" s="53">
        <f>AD383</f>
        <v>86</v>
      </c>
      <c r="AA383" s="22">
        <v>1720000</v>
      </c>
      <c r="AB383" s="19">
        <f t="shared" ref="AB383:AB386" si="120">AA383/K383*100</f>
        <v>86</v>
      </c>
      <c r="AC383" s="53">
        <f>AA383</f>
        <v>1720000</v>
      </c>
      <c r="AD383" s="19">
        <f t="shared" ref="AD383:AD386" si="121">AC383/K383*100</f>
        <v>86</v>
      </c>
    </row>
    <row r="384" spans="2:33">
      <c r="B384" s="13">
        <v>3</v>
      </c>
      <c r="C384" s="74" t="s">
        <v>204</v>
      </c>
      <c r="D384" s="74" t="s">
        <v>32</v>
      </c>
      <c r="E384" s="204"/>
      <c r="F384" s="204"/>
      <c r="G384" s="193"/>
      <c r="H384" s="89"/>
      <c r="I384" s="193"/>
      <c r="J384" s="15">
        <v>6438000</v>
      </c>
      <c r="K384" s="99">
        <v>6438000</v>
      </c>
      <c r="L384" s="13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53">
        <f>AB384</f>
        <v>71.637154395775084</v>
      </c>
      <c r="Z384" s="53">
        <f>AD384</f>
        <v>71.637154395775084</v>
      </c>
      <c r="AA384" s="22">
        <f>225000+4387000</f>
        <v>4612000</v>
      </c>
      <c r="AB384" s="19">
        <f t="shared" si="120"/>
        <v>71.637154395775084</v>
      </c>
      <c r="AC384" s="53">
        <f>AA384</f>
        <v>4612000</v>
      </c>
      <c r="AD384" s="19">
        <f t="shared" si="121"/>
        <v>71.637154395775084</v>
      </c>
    </row>
    <row r="385" spans="2:30">
      <c r="B385" s="13">
        <v>4</v>
      </c>
      <c r="C385" s="74" t="s">
        <v>205</v>
      </c>
      <c r="D385" s="74" t="s">
        <v>34</v>
      </c>
      <c r="E385" s="204"/>
      <c r="F385" s="204"/>
      <c r="G385" s="193"/>
      <c r="H385" s="89"/>
      <c r="I385" s="193"/>
      <c r="J385" s="15">
        <v>8000000</v>
      </c>
      <c r="K385" s="99">
        <v>10163000</v>
      </c>
      <c r="L385" s="13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53">
        <f>AB385</f>
        <v>100</v>
      </c>
      <c r="Z385" s="53">
        <f>AD385</f>
        <v>100</v>
      </c>
      <c r="AA385" s="22">
        <f>2163000+8000000</f>
        <v>10163000</v>
      </c>
      <c r="AB385" s="19">
        <f t="shared" si="120"/>
        <v>100</v>
      </c>
      <c r="AC385" s="53">
        <f>AA385</f>
        <v>10163000</v>
      </c>
      <c r="AD385" s="19">
        <f t="shared" si="121"/>
        <v>100</v>
      </c>
    </row>
    <row r="386" spans="2:30" ht="25.5">
      <c r="B386" s="45">
        <v>5</v>
      </c>
      <c r="C386" s="357" t="s">
        <v>1590</v>
      </c>
      <c r="D386" s="21" t="s">
        <v>1591</v>
      </c>
      <c r="E386" s="489"/>
      <c r="F386" s="489"/>
      <c r="G386" s="240"/>
      <c r="H386" s="186"/>
      <c r="I386" s="240"/>
      <c r="J386" s="15">
        <v>47025000</v>
      </c>
      <c r="K386" s="99">
        <v>47025000</v>
      </c>
      <c r="L386" s="45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55">
        <f>AB386</f>
        <v>99.47900053163211</v>
      </c>
      <c r="Z386" s="55">
        <f>AD386</f>
        <v>99.47900053163211</v>
      </c>
      <c r="AA386" s="73">
        <f>44800000+1125000+855000</f>
        <v>46780000</v>
      </c>
      <c r="AB386" s="19">
        <f t="shared" si="120"/>
        <v>99.47900053163211</v>
      </c>
      <c r="AC386" s="55">
        <f>AA386</f>
        <v>46780000</v>
      </c>
      <c r="AD386" s="19">
        <f t="shared" si="121"/>
        <v>99.47900053163211</v>
      </c>
    </row>
    <row r="387" spans="2:30">
      <c r="B387" s="341">
        <v>44</v>
      </c>
      <c r="C387" s="898" t="s">
        <v>1601</v>
      </c>
      <c r="D387" s="898"/>
      <c r="E387" s="508"/>
      <c r="F387" s="508">
        <v>5</v>
      </c>
      <c r="G387" s="499"/>
      <c r="H387" s="577"/>
      <c r="I387" s="499"/>
      <c r="J387" s="342">
        <f>SUM(J382:J386)</f>
        <v>104025000</v>
      </c>
      <c r="K387" s="342">
        <f>SUM(K382:K386)</f>
        <v>109855000</v>
      </c>
      <c r="L387" s="353"/>
      <c r="M387" s="354"/>
      <c r="N387" s="354"/>
      <c r="O387" s="354"/>
      <c r="P387" s="354"/>
      <c r="Q387" s="354"/>
      <c r="R387" s="354"/>
      <c r="S387" s="354"/>
      <c r="T387" s="354"/>
      <c r="U387" s="354"/>
      <c r="V387" s="354"/>
      <c r="W387" s="354"/>
      <c r="X387" s="354"/>
      <c r="Y387" s="358">
        <f>SUM(Y382:Y386)/5</f>
        <v>89.334089924186813</v>
      </c>
      <c r="Z387" s="358">
        <f>SUM(Z382:Z386)/5</f>
        <v>89.334089924186813</v>
      </c>
      <c r="AA387" s="358">
        <f>SUM(AA382:AA386)</f>
        <v>102883969</v>
      </c>
      <c r="AB387" s="358">
        <f>SUM(AB382:AB386)/5</f>
        <v>89.334089924186813</v>
      </c>
      <c r="AC387" s="358">
        <f>SUM(AC382:AC386)</f>
        <v>102883969</v>
      </c>
      <c r="AD387" s="358">
        <f>SUM(AD382:AD386)/5</f>
        <v>89.334089924186813</v>
      </c>
    </row>
    <row r="388" spans="2:30">
      <c r="B388" s="62"/>
      <c r="C388" s="63" t="s">
        <v>1602</v>
      </c>
      <c r="D388" s="64" t="s">
        <v>1603</v>
      </c>
      <c r="E388" s="484"/>
      <c r="F388" s="484"/>
      <c r="G388" s="472"/>
      <c r="H388" s="242"/>
      <c r="I388" s="472"/>
      <c r="J388" s="65"/>
      <c r="K388" s="65"/>
      <c r="L388" s="66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2:30">
      <c r="B389" s="13">
        <v>1</v>
      </c>
      <c r="C389" s="17" t="s">
        <v>206</v>
      </c>
      <c r="D389" s="39" t="s">
        <v>28</v>
      </c>
      <c r="E389" s="204"/>
      <c r="F389" s="204"/>
      <c r="G389" s="193"/>
      <c r="H389" s="89"/>
      <c r="I389" s="193"/>
      <c r="J389" s="15">
        <v>39175000</v>
      </c>
      <c r="K389" s="99">
        <v>45005000</v>
      </c>
      <c r="L389" s="13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53">
        <f>AB389</f>
        <v>94.228374625041667</v>
      </c>
      <c r="Z389" s="53">
        <f>AD389</f>
        <v>94.228374625041667</v>
      </c>
      <c r="AA389" s="22">
        <v>42407480</v>
      </c>
      <c r="AB389" s="19">
        <f>AA389/K389*100</f>
        <v>94.228374625041667</v>
      </c>
      <c r="AC389" s="53">
        <f>AA389</f>
        <v>42407480</v>
      </c>
      <c r="AD389" s="19">
        <f>AC389/K389*100</f>
        <v>94.228374625041667</v>
      </c>
    </row>
    <row r="390" spans="2:30">
      <c r="B390" s="13">
        <v>2</v>
      </c>
      <c r="C390" s="17" t="s">
        <v>207</v>
      </c>
      <c r="D390" s="39" t="s">
        <v>30</v>
      </c>
      <c r="E390" s="204"/>
      <c r="F390" s="204"/>
      <c r="G390" s="193"/>
      <c r="H390" s="89"/>
      <c r="I390" s="193"/>
      <c r="J390" s="15">
        <v>3000000</v>
      </c>
      <c r="K390" s="99">
        <v>3000000</v>
      </c>
      <c r="L390" s="13"/>
      <c r="M390" s="17" t="s">
        <v>1</v>
      </c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53">
        <f>AB390</f>
        <v>100</v>
      </c>
      <c r="Z390" s="53">
        <f>AD390</f>
        <v>100</v>
      </c>
      <c r="AA390" s="22">
        <v>3000000</v>
      </c>
      <c r="AB390" s="19">
        <f t="shared" ref="AB390:AB392" si="122">AA390/K390*100</f>
        <v>100</v>
      </c>
      <c r="AC390" s="53">
        <f>AA390</f>
        <v>3000000</v>
      </c>
      <c r="AD390" s="19">
        <f t="shared" ref="AD390:AD392" si="123">AC390/K390*100</f>
        <v>100</v>
      </c>
    </row>
    <row r="391" spans="2:30">
      <c r="B391" s="13">
        <f>B390+1</f>
        <v>3</v>
      </c>
      <c r="C391" s="17" t="s">
        <v>208</v>
      </c>
      <c r="D391" s="39" t="s">
        <v>32</v>
      </c>
      <c r="E391" s="204"/>
      <c r="F391" s="204"/>
      <c r="G391" s="193"/>
      <c r="H391" s="89"/>
      <c r="I391" s="193"/>
      <c r="J391" s="15">
        <v>8450000</v>
      </c>
      <c r="K391" s="99">
        <v>8450000</v>
      </c>
      <c r="L391" s="13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53">
        <f>AB391</f>
        <v>100</v>
      </c>
      <c r="Z391" s="53">
        <f>AD391</f>
        <v>100</v>
      </c>
      <c r="AA391" s="22">
        <v>8450000</v>
      </c>
      <c r="AB391" s="19">
        <f t="shared" si="122"/>
        <v>100</v>
      </c>
      <c r="AC391" s="53">
        <f>AA391</f>
        <v>8450000</v>
      </c>
      <c r="AD391" s="19">
        <f t="shared" si="123"/>
        <v>100</v>
      </c>
    </row>
    <row r="392" spans="2:30">
      <c r="B392" s="45">
        <f>B391+1</f>
        <v>4</v>
      </c>
      <c r="C392" s="44" t="s">
        <v>209</v>
      </c>
      <c r="D392" s="78" t="s">
        <v>34</v>
      </c>
      <c r="E392" s="489"/>
      <c r="F392" s="489"/>
      <c r="G392" s="240"/>
      <c r="H392" s="186"/>
      <c r="I392" s="240"/>
      <c r="J392" s="15">
        <v>6375000</v>
      </c>
      <c r="K392" s="99">
        <v>6375000</v>
      </c>
      <c r="L392" s="45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55">
        <f>AB392</f>
        <v>100</v>
      </c>
      <c r="Z392" s="55">
        <f>AD392</f>
        <v>100</v>
      </c>
      <c r="AA392" s="73">
        <v>6375000</v>
      </c>
      <c r="AB392" s="19">
        <f t="shared" si="122"/>
        <v>100</v>
      </c>
      <c r="AC392" s="55">
        <f>AA392</f>
        <v>6375000</v>
      </c>
      <c r="AD392" s="19">
        <f t="shared" si="123"/>
        <v>100</v>
      </c>
    </row>
    <row r="393" spans="2:30">
      <c r="B393" s="341">
        <v>45</v>
      </c>
      <c r="C393" s="897" t="s">
        <v>1604</v>
      </c>
      <c r="D393" s="897"/>
      <c r="E393" s="508"/>
      <c r="F393" s="508">
        <v>4</v>
      </c>
      <c r="G393" s="499"/>
      <c r="H393" s="577"/>
      <c r="I393" s="499"/>
      <c r="J393" s="342">
        <f>SUM(J389:J392)</f>
        <v>57000000</v>
      </c>
      <c r="K393" s="342">
        <f>SUM(K389:K392)</f>
        <v>62830000</v>
      </c>
      <c r="L393" s="91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4">
        <f>SUM(Y389:Y392)/4</f>
        <v>98.55709365626042</v>
      </c>
      <c r="Z393" s="94">
        <f>SUM(Z389:Z392)/4</f>
        <v>98.55709365626042</v>
      </c>
      <c r="AA393" s="342">
        <f>SUM(AA389:AA392)</f>
        <v>60232480</v>
      </c>
      <c r="AB393" s="94">
        <f>SUM(AB389:AB392)/4</f>
        <v>98.55709365626042</v>
      </c>
      <c r="AC393" s="342">
        <f>SUM(AC389:AC392)</f>
        <v>60232480</v>
      </c>
      <c r="AD393" s="94">
        <f>SUM(AD389:AD392)/4</f>
        <v>98.55709365626042</v>
      </c>
    </row>
    <row r="394" spans="2:30">
      <c r="B394" s="62"/>
      <c r="C394" s="63" t="s">
        <v>1605</v>
      </c>
      <c r="D394" s="64" t="s">
        <v>1606</v>
      </c>
      <c r="E394" s="484"/>
      <c r="F394" s="484"/>
      <c r="G394" s="472"/>
      <c r="H394" s="242"/>
      <c r="I394" s="472"/>
      <c r="J394" s="65"/>
      <c r="K394" s="65"/>
      <c r="L394" s="66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2:30">
      <c r="B395" s="13">
        <v>1</v>
      </c>
      <c r="C395" s="17" t="s">
        <v>206</v>
      </c>
      <c r="D395" s="39" t="s">
        <v>28</v>
      </c>
      <c r="E395" s="204"/>
      <c r="F395" s="204"/>
      <c r="G395" s="193"/>
      <c r="H395" s="89"/>
      <c r="I395" s="193"/>
      <c r="J395" s="15">
        <v>29600000</v>
      </c>
      <c r="K395" s="99">
        <v>34605000</v>
      </c>
      <c r="L395" s="13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53">
        <f>AB395</f>
        <v>91.338185233347787</v>
      </c>
      <c r="Z395" s="53">
        <f>AD395</f>
        <v>91.338185233347787</v>
      </c>
      <c r="AA395" s="22">
        <v>31607579</v>
      </c>
      <c r="AB395" s="19">
        <f>AA395/K395*100</f>
        <v>91.338185233347787</v>
      </c>
      <c r="AC395" s="53">
        <f>AA395</f>
        <v>31607579</v>
      </c>
      <c r="AD395" s="19">
        <f>AC395/K395*100</f>
        <v>91.338185233347787</v>
      </c>
    </row>
    <row r="396" spans="2:30">
      <c r="B396" s="13">
        <v>2</v>
      </c>
      <c r="C396" s="17" t="s">
        <v>207</v>
      </c>
      <c r="D396" s="39" t="s">
        <v>30</v>
      </c>
      <c r="E396" s="204"/>
      <c r="F396" s="204"/>
      <c r="G396" s="193"/>
      <c r="H396" s="89"/>
      <c r="I396" s="193"/>
      <c r="J396" s="15">
        <v>2400000</v>
      </c>
      <c r="K396" s="99">
        <v>2400000</v>
      </c>
      <c r="L396" s="13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53">
        <f>AB396</f>
        <v>93.333333333333329</v>
      </c>
      <c r="Z396" s="53">
        <f>AD396</f>
        <v>93.333333333333329</v>
      </c>
      <c r="AA396" s="22">
        <v>2240000</v>
      </c>
      <c r="AB396" s="19">
        <f t="shared" ref="AB396:AB398" si="124">AA396/K396*100</f>
        <v>93.333333333333329</v>
      </c>
      <c r="AC396" s="53">
        <f>AA396</f>
        <v>2240000</v>
      </c>
      <c r="AD396" s="19">
        <f t="shared" ref="AD396:AD398" si="125">AC396/K396*100</f>
        <v>93.333333333333329</v>
      </c>
    </row>
    <row r="397" spans="2:30">
      <c r="B397" s="13">
        <f>B396+1</f>
        <v>3</v>
      </c>
      <c r="C397" s="17" t="s">
        <v>208</v>
      </c>
      <c r="D397" s="39" t="s">
        <v>32</v>
      </c>
      <c r="E397" s="204"/>
      <c r="F397" s="204"/>
      <c r="G397" s="193"/>
      <c r="H397" s="89"/>
      <c r="I397" s="193"/>
      <c r="J397" s="15">
        <v>10000000</v>
      </c>
      <c r="K397" s="99">
        <v>10000000</v>
      </c>
      <c r="L397" s="13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53">
        <f>AB397</f>
        <v>79.64</v>
      </c>
      <c r="Z397" s="53">
        <f>AD397</f>
        <v>79.64</v>
      </c>
      <c r="AA397" s="22">
        <v>7964000</v>
      </c>
      <c r="AB397" s="19">
        <f t="shared" si="124"/>
        <v>79.64</v>
      </c>
      <c r="AC397" s="53">
        <f>AA397</f>
        <v>7964000</v>
      </c>
      <c r="AD397" s="19">
        <f t="shared" si="125"/>
        <v>79.64</v>
      </c>
    </row>
    <row r="398" spans="2:30">
      <c r="B398" s="45">
        <f>B397+1</f>
        <v>4</v>
      </c>
      <c r="C398" s="44" t="s">
        <v>209</v>
      </c>
      <c r="D398" s="78" t="s">
        <v>34</v>
      </c>
      <c r="E398" s="489"/>
      <c r="F398" s="489"/>
      <c r="G398" s="240"/>
      <c r="H398" s="186"/>
      <c r="I398" s="240"/>
      <c r="J398" s="15">
        <v>15000000</v>
      </c>
      <c r="K398" s="99">
        <v>15000000</v>
      </c>
      <c r="L398" s="45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55">
        <f>AB398</f>
        <v>95.333333333333343</v>
      </c>
      <c r="Z398" s="55">
        <f>AD398</f>
        <v>95.333333333333343</v>
      </c>
      <c r="AA398" s="73">
        <v>14300000</v>
      </c>
      <c r="AB398" s="19">
        <f t="shared" si="124"/>
        <v>95.333333333333343</v>
      </c>
      <c r="AC398" s="55">
        <f>AA398</f>
        <v>14300000</v>
      </c>
      <c r="AD398" s="19">
        <f t="shared" si="125"/>
        <v>95.333333333333343</v>
      </c>
    </row>
    <row r="399" spans="2:30">
      <c r="B399" s="341">
        <v>46</v>
      </c>
      <c r="C399" s="897" t="s">
        <v>1607</v>
      </c>
      <c r="D399" s="897"/>
      <c r="E399" s="508"/>
      <c r="F399" s="508">
        <v>4</v>
      </c>
      <c r="G399" s="499"/>
      <c r="H399" s="577"/>
      <c r="I399" s="499"/>
      <c r="J399" s="342">
        <f>SUM(J395:J398)</f>
        <v>57000000</v>
      </c>
      <c r="K399" s="342">
        <f>SUM(K395:K398)</f>
        <v>62005000</v>
      </c>
      <c r="L399" s="91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4">
        <f>SUM(Y395:Y398)/4</f>
        <v>89.911212975003622</v>
      </c>
      <c r="Z399" s="94">
        <f>SUM(Z395:Z398)/4</f>
        <v>89.911212975003622</v>
      </c>
      <c r="AA399" s="342">
        <f>SUM(AA395:AA398)</f>
        <v>56111579</v>
      </c>
      <c r="AB399" s="94">
        <f>SUM(AB395:AB398)/4</f>
        <v>89.911212975003622</v>
      </c>
      <c r="AC399" s="342">
        <f>SUM(AC395:AC398)</f>
        <v>56111579</v>
      </c>
      <c r="AD399" s="94">
        <f>SUM(AD395:AD398)/4</f>
        <v>89.911212975003622</v>
      </c>
    </row>
    <row r="400" spans="2:30">
      <c r="B400" s="106"/>
      <c r="C400" s="63" t="s">
        <v>1608</v>
      </c>
      <c r="D400" s="64" t="s">
        <v>1609</v>
      </c>
      <c r="E400" s="484"/>
      <c r="F400" s="484"/>
      <c r="G400" s="472"/>
      <c r="H400" s="242"/>
      <c r="I400" s="472"/>
      <c r="J400" s="65"/>
      <c r="K400" s="65"/>
      <c r="L400" s="66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2:30">
      <c r="B401" s="13">
        <v>1</v>
      </c>
      <c r="C401" s="17" t="s">
        <v>206</v>
      </c>
      <c r="D401" s="348" t="s">
        <v>28</v>
      </c>
      <c r="E401" s="486"/>
      <c r="F401" s="486"/>
      <c r="G401" s="473"/>
      <c r="H401" s="578"/>
      <c r="I401" s="473"/>
      <c r="J401" s="15">
        <v>43726000</v>
      </c>
      <c r="K401" s="99">
        <v>37821000</v>
      </c>
      <c r="L401" s="10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53">
        <f>AB401</f>
        <v>97.524999338991563</v>
      </c>
      <c r="Z401" s="53">
        <f>AD401</f>
        <v>97.524999338991563</v>
      </c>
      <c r="AA401" s="22">
        <v>36884930</v>
      </c>
      <c r="AB401" s="19">
        <f>AA401/K401*100</f>
        <v>97.524999338991563</v>
      </c>
      <c r="AC401" s="22">
        <f>AA401</f>
        <v>36884930</v>
      </c>
      <c r="AD401" s="19">
        <f>AC401/K401*100</f>
        <v>97.524999338991563</v>
      </c>
    </row>
    <row r="402" spans="2:30">
      <c r="B402" s="13">
        <v>2</v>
      </c>
      <c r="C402" s="17" t="s">
        <v>207</v>
      </c>
      <c r="D402" s="348" t="s">
        <v>30</v>
      </c>
      <c r="E402" s="486"/>
      <c r="F402" s="486"/>
      <c r="G402" s="473"/>
      <c r="H402" s="578"/>
      <c r="I402" s="473"/>
      <c r="J402" s="15">
        <v>2700000</v>
      </c>
      <c r="K402" s="99">
        <v>3150000</v>
      </c>
      <c r="L402" s="10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53">
        <f>AB402</f>
        <v>100</v>
      </c>
      <c r="Z402" s="53">
        <f>AD402</f>
        <v>100</v>
      </c>
      <c r="AA402" s="22">
        <v>3150000</v>
      </c>
      <c r="AB402" s="19">
        <f t="shared" ref="AB402:AB403" si="126">AA402/K402*100</f>
        <v>100</v>
      </c>
      <c r="AC402" s="22">
        <f>AA402</f>
        <v>3150000</v>
      </c>
      <c r="AD402" s="19">
        <f t="shared" ref="AD402:AD403" si="127">AC402/K402*100</f>
        <v>100</v>
      </c>
    </row>
    <row r="403" spans="2:30">
      <c r="B403" s="45">
        <v>3</v>
      </c>
      <c r="C403" s="93" t="s">
        <v>205</v>
      </c>
      <c r="D403" s="93" t="s">
        <v>34</v>
      </c>
      <c r="E403" s="509"/>
      <c r="F403" s="509"/>
      <c r="G403" s="500"/>
      <c r="H403" s="579"/>
      <c r="I403" s="500"/>
      <c r="J403" s="15">
        <v>10540000</v>
      </c>
      <c r="K403" s="99">
        <v>21000000</v>
      </c>
      <c r="L403" s="109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55">
        <f>AB403</f>
        <v>100</v>
      </c>
      <c r="Z403" s="55">
        <f>AD403</f>
        <v>100</v>
      </c>
      <c r="AA403" s="73">
        <v>21000000</v>
      </c>
      <c r="AB403" s="19">
        <f t="shared" si="126"/>
        <v>100</v>
      </c>
      <c r="AC403" s="73">
        <f>AA403</f>
        <v>21000000</v>
      </c>
      <c r="AD403" s="19">
        <f t="shared" si="127"/>
        <v>100</v>
      </c>
    </row>
    <row r="404" spans="2:30">
      <c r="B404" s="341">
        <v>47</v>
      </c>
      <c r="C404" s="897" t="s">
        <v>1610</v>
      </c>
      <c r="D404" s="897"/>
      <c r="E404" s="508"/>
      <c r="F404" s="508">
        <v>3</v>
      </c>
      <c r="G404" s="499"/>
      <c r="H404" s="577"/>
      <c r="I404" s="499"/>
      <c r="J404" s="342">
        <f>SUM(J401:J403)</f>
        <v>56966000</v>
      </c>
      <c r="K404" s="342">
        <f>SUM(K401:K403)</f>
        <v>61971000</v>
      </c>
      <c r="L404" s="91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4">
        <f>SUM(Y401:Y403)/3</f>
        <v>99.17499977966385</v>
      </c>
      <c r="Z404" s="94">
        <f>SUM(Z401:Z403)/3</f>
        <v>99.17499977966385</v>
      </c>
      <c r="AA404" s="342">
        <f>SUM(AA401:AA403)</f>
        <v>61034930</v>
      </c>
      <c r="AB404" s="94">
        <f>SUM(AB401:AB403)/3</f>
        <v>99.17499977966385</v>
      </c>
      <c r="AC404" s="342">
        <f>SUM(AC401:AC403)</f>
        <v>61034930</v>
      </c>
      <c r="AD404" s="94">
        <f>SUM(AD401:AD403)/3</f>
        <v>99.17499977966385</v>
      </c>
    </row>
    <row r="405" spans="2:30">
      <c r="B405" s="66"/>
      <c r="C405" s="63" t="s">
        <v>1611</v>
      </c>
      <c r="D405" s="64" t="s">
        <v>1612</v>
      </c>
      <c r="E405" s="484"/>
      <c r="F405" s="484"/>
      <c r="G405" s="472"/>
      <c r="H405" s="242"/>
      <c r="I405" s="472"/>
      <c r="J405" s="65"/>
      <c r="K405" s="65"/>
      <c r="L405" s="66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2:30">
      <c r="B406" s="13">
        <f>B405+1</f>
        <v>1</v>
      </c>
      <c r="C406" s="17" t="s">
        <v>206</v>
      </c>
      <c r="D406" s="39" t="s">
        <v>28</v>
      </c>
      <c r="E406" s="204"/>
      <c r="F406" s="204"/>
      <c r="G406" s="193"/>
      <c r="H406" s="89"/>
      <c r="I406" s="193"/>
      <c r="J406" s="15">
        <v>43076000</v>
      </c>
      <c r="K406" s="99">
        <v>41956000</v>
      </c>
      <c r="L406" s="13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53">
        <f>AB406</f>
        <v>79.291686528744393</v>
      </c>
      <c r="Z406" s="53">
        <f>AD406</f>
        <v>79.291686528744393</v>
      </c>
      <c r="AA406" s="22">
        <v>33267620</v>
      </c>
      <c r="AB406" s="19">
        <f>AA406/K406*100</f>
        <v>79.291686528744393</v>
      </c>
      <c r="AC406" s="22">
        <f>AA406</f>
        <v>33267620</v>
      </c>
      <c r="AD406" s="19">
        <f>AC406/K406*100</f>
        <v>79.291686528744393</v>
      </c>
    </row>
    <row r="407" spans="2:30">
      <c r="B407" s="13">
        <f>B406+1</f>
        <v>2</v>
      </c>
      <c r="C407" s="17" t="s">
        <v>207</v>
      </c>
      <c r="D407" s="39" t="s">
        <v>30</v>
      </c>
      <c r="E407" s="204"/>
      <c r="F407" s="204"/>
      <c r="G407" s="193"/>
      <c r="H407" s="89"/>
      <c r="I407" s="193"/>
      <c r="J407" s="15">
        <v>3000000</v>
      </c>
      <c r="K407" s="99">
        <v>4500000</v>
      </c>
      <c r="L407" s="13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53">
        <f>AB407</f>
        <v>100</v>
      </c>
      <c r="Z407" s="53">
        <f>AD407</f>
        <v>100</v>
      </c>
      <c r="AA407" s="22">
        <v>4500000</v>
      </c>
      <c r="AB407" s="19">
        <f t="shared" ref="AB407:AB409" si="128">AA407/K407*100</f>
        <v>100</v>
      </c>
      <c r="AC407" s="22">
        <f>AA407</f>
        <v>4500000</v>
      </c>
      <c r="AD407" s="19">
        <f t="shared" ref="AD407:AD409" si="129">AC407/K407*100</f>
        <v>100</v>
      </c>
    </row>
    <row r="408" spans="2:30">
      <c r="B408" s="13">
        <f>B407+1</f>
        <v>3</v>
      </c>
      <c r="C408" s="17" t="s">
        <v>208</v>
      </c>
      <c r="D408" s="39" t="s">
        <v>32</v>
      </c>
      <c r="E408" s="204"/>
      <c r="F408" s="204"/>
      <c r="G408" s="193"/>
      <c r="H408" s="89"/>
      <c r="I408" s="193"/>
      <c r="J408" s="15">
        <v>5924000</v>
      </c>
      <c r="K408" s="99">
        <v>5924000</v>
      </c>
      <c r="L408" s="13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53">
        <f>AB408</f>
        <v>100</v>
      </c>
      <c r="Z408" s="53">
        <f>AD408</f>
        <v>100</v>
      </c>
      <c r="AA408" s="22">
        <v>5924000</v>
      </c>
      <c r="AB408" s="19">
        <f t="shared" si="128"/>
        <v>100</v>
      </c>
      <c r="AC408" s="22">
        <f>AA408</f>
        <v>5924000</v>
      </c>
      <c r="AD408" s="19">
        <f t="shared" si="129"/>
        <v>100</v>
      </c>
    </row>
    <row r="409" spans="2:30">
      <c r="B409" s="45">
        <v>4</v>
      </c>
      <c r="C409" s="58" t="s">
        <v>205</v>
      </c>
      <c r="D409" s="317" t="s">
        <v>34</v>
      </c>
      <c r="E409" s="489"/>
      <c r="F409" s="489"/>
      <c r="G409" s="240"/>
      <c r="H409" s="186"/>
      <c r="I409" s="240"/>
      <c r="J409" s="15">
        <v>5000000</v>
      </c>
      <c r="K409" s="99">
        <v>11000000</v>
      </c>
      <c r="L409" s="45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53">
        <f>AB409</f>
        <v>100</v>
      </c>
      <c r="Z409" s="53">
        <f>AB409</f>
        <v>100</v>
      </c>
      <c r="AA409" s="22">
        <f>6000000+5000000</f>
        <v>11000000</v>
      </c>
      <c r="AB409" s="19">
        <f t="shared" si="128"/>
        <v>100</v>
      </c>
      <c r="AC409" s="22">
        <f>AA409</f>
        <v>11000000</v>
      </c>
      <c r="AD409" s="19">
        <f t="shared" si="129"/>
        <v>100</v>
      </c>
    </row>
    <row r="410" spans="2:30" ht="17.25" customHeight="1">
      <c r="B410" s="341">
        <v>48</v>
      </c>
      <c r="C410" s="897" t="s">
        <v>1613</v>
      </c>
      <c r="D410" s="897"/>
      <c r="E410" s="508"/>
      <c r="F410" s="508">
        <v>4</v>
      </c>
      <c r="G410" s="499"/>
      <c r="H410" s="577"/>
      <c r="I410" s="499"/>
      <c r="J410" s="342">
        <f>SUM(J406:J409)</f>
        <v>57000000</v>
      </c>
      <c r="K410" s="342">
        <f>SUM(K406:K409)</f>
        <v>63380000</v>
      </c>
      <c r="L410" s="91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4">
        <f>SUM(Y406:Y409)/4</f>
        <v>94.822921632186095</v>
      </c>
      <c r="Z410" s="94">
        <f>SUM(Z406:Z409)/4</f>
        <v>94.822921632186095</v>
      </c>
      <c r="AA410" s="342">
        <f>SUM(AA406:AA409)</f>
        <v>54691620</v>
      </c>
      <c r="AB410" s="342">
        <f>SUM(AB406:AB409)/4</f>
        <v>94.822921632186095</v>
      </c>
      <c r="AC410" s="342">
        <f>SUM(AC406:AC409)</f>
        <v>54691620</v>
      </c>
      <c r="AD410" s="342">
        <f>SUM(AD406:AD409)/4</f>
        <v>94.822921632186095</v>
      </c>
    </row>
    <row r="411" spans="2:30" ht="18" customHeight="1">
      <c r="B411" s="66"/>
      <c r="C411" s="63" t="s">
        <v>1614</v>
      </c>
      <c r="D411" s="64" t="s">
        <v>1615</v>
      </c>
      <c r="E411" s="484"/>
      <c r="F411" s="484"/>
      <c r="G411" s="472"/>
      <c r="H411" s="242"/>
      <c r="I411" s="472"/>
      <c r="J411" s="65"/>
      <c r="K411" s="65"/>
      <c r="L411" s="66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2:30">
      <c r="B412" s="13">
        <f>B411+1</f>
        <v>1</v>
      </c>
      <c r="C412" s="17" t="s">
        <v>206</v>
      </c>
      <c r="D412" s="39" t="s">
        <v>28</v>
      </c>
      <c r="E412" s="204"/>
      <c r="F412" s="204"/>
      <c r="G412" s="193"/>
      <c r="H412" s="89"/>
      <c r="I412" s="193"/>
      <c r="J412" s="15">
        <v>40500000</v>
      </c>
      <c r="K412" s="99">
        <v>43255000</v>
      </c>
      <c r="L412" s="13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53">
        <f>AB412</f>
        <v>100</v>
      </c>
      <c r="Z412" s="53">
        <f>AD412</f>
        <v>100</v>
      </c>
      <c r="AA412" s="99">
        <v>43255000</v>
      </c>
      <c r="AB412" s="19">
        <f>AA412/K412*100</f>
        <v>100</v>
      </c>
      <c r="AC412" s="53">
        <f>AA412</f>
        <v>43255000</v>
      </c>
      <c r="AD412" s="19">
        <f>AC412/K412*100</f>
        <v>100</v>
      </c>
    </row>
    <row r="413" spans="2:30">
      <c r="B413" s="13">
        <f>B412+1</f>
        <v>2</v>
      </c>
      <c r="C413" s="17" t="s">
        <v>207</v>
      </c>
      <c r="D413" s="39" t="s">
        <v>30</v>
      </c>
      <c r="E413" s="204"/>
      <c r="F413" s="204"/>
      <c r="G413" s="193"/>
      <c r="H413" s="89"/>
      <c r="I413" s="193"/>
      <c r="J413" s="15">
        <v>2100000</v>
      </c>
      <c r="K413" s="99">
        <v>2100000</v>
      </c>
      <c r="L413" s="13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53">
        <f>AB413</f>
        <v>100</v>
      </c>
      <c r="Z413" s="53">
        <f>AD413</f>
        <v>100</v>
      </c>
      <c r="AA413" s="22">
        <v>2100000</v>
      </c>
      <c r="AB413" s="19">
        <f t="shared" ref="AB413:AB416" si="130">AA413/K413*100</f>
        <v>100</v>
      </c>
      <c r="AC413" s="53">
        <f>AA413</f>
        <v>2100000</v>
      </c>
      <c r="AD413" s="19">
        <f t="shared" ref="AD413:AD416" si="131">AC413/K413*100</f>
        <v>100</v>
      </c>
    </row>
    <row r="414" spans="2:30">
      <c r="B414" s="13">
        <f>B413+1</f>
        <v>3</v>
      </c>
      <c r="C414" s="17" t="s">
        <v>208</v>
      </c>
      <c r="D414" s="39" t="s">
        <v>32</v>
      </c>
      <c r="E414" s="204"/>
      <c r="F414" s="204"/>
      <c r="G414" s="193"/>
      <c r="H414" s="89"/>
      <c r="I414" s="193"/>
      <c r="J414" s="15">
        <v>2000000</v>
      </c>
      <c r="K414" s="99">
        <v>2300000</v>
      </c>
      <c r="L414" s="13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53">
        <f>AB414</f>
        <v>99.782608695652172</v>
      </c>
      <c r="Z414" s="53">
        <f>AD414</f>
        <v>99.782608695652172</v>
      </c>
      <c r="AA414" s="22">
        <v>2295000</v>
      </c>
      <c r="AB414" s="19">
        <f t="shared" si="130"/>
        <v>99.782608695652172</v>
      </c>
      <c r="AC414" s="53">
        <f>AA414</f>
        <v>2295000</v>
      </c>
      <c r="AD414" s="19">
        <f t="shared" si="131"/>
        <v>99.782608695652172</v>
      </c>
    </row>
    <row r="415" spans="2:30">
      <c r="B415" s="45">
        <f>B414+1</f>
        <v>4</v>
      </c>
      <c r="C415" s="44" t="s">
        <v>209</v>
      </c>
      <c r="D415" s="78" t="s">
        <v>34</v>
      </c>
      <c r="E415" s="489"/>
      <c r="F415" s="489"/>
      <c r="G415" s="240"/>
      <c r="H415" s="186"/>
      <c r="I415" s="240"/>
      <c r="J415" s="79">
        <v>12400000</v>
      </c>
      <c r="K415" s="99">
        <v>14350000</v>
      </c>
      <c r="L415" s="45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55">
        <f>AB415</f>
        <v>99.749128919860624</v>
      </c>
      <c r="Z415" s="55">
        <f>AD415</f>
        <v>99.749128919860624</v>
      </c>
      <c r="AA415" s="73">
        <f>14314000</f>
        <v>14314000</v>
      </c>
      <c r="AB415" s="19">
        <f t="shared" si="130"/>
        <v>99.749128919860624</v>
      </c>
      <c r="AC415" s="55">
        <f>AA415</f>
        <v>14314000</v>
      </c>
      <c r="AD415" s="19">
        <f t="shared" si="131"/>
        <v>99.749128919860624</v>
      </c>
    </row>
    <row r="416" spans="2:30">
      <c r="B416" s="32">
        <v>5</v>
      </c>
      <c r="C416" s="359" t="s">
        <v>1616</v>
      </c>
      <c r="D416" s="330" t="s">
        <v>1617</v>
      </c>
      <c r="E416" s="507"/>
      <c r="F416" s="489"/>
      <c r="G416" s="240"/>
      <c r="H416" s="186"/>
      <c r="I416" s="240"/>
      <c r="J416" s="15">
        <v>200000000</v>
      </c>
      <c r="K416" s="99">
        <v>200000000</v>
      </c>
      <c r="L416" s="32"/>
      <c r="M416" s="33"/>
      <c r="N416" s="33"/>
      <c r="O416" s="33"/>
      <c r="P416" s="33"/>
      <c r="Q416" s="33"/>
      <c r="R416" s="44"/>
      <c r="S416" s="44"/>
      <c r="T416" s="44"/>
      <c r="U416" s="44"/>
      <c r="V416" s="44"/>
      <c r="W416" s="44"/>
      <c r="X416" s="44"/>
      <c r="Y416" s="55">
        <f>AB416</f>
        <v>99.670875000000009</v>
      </c>
      <c r="Z416" s="55">
        <f>AD416</f>
        <v>99.670875000000009</v>
      </c>
      <c r="AA416" s="73">
        <v>199341750</v>
      </c>
      <c r="AB416" s="19">
        <f t="shared" si="130"/>
        <v>99.670875000000009</v>
      </c>
      <c r="AC416" s="55">
        <f>AA416</f>
        <v>199341750</v>
      </c>
      <c r="AD416" s="19">
        <f t="shared" si="131"/>
        <v>99.670875000000009</v>
      </c>
    </row>
    <row r="417" spans="2:30">
      <c r="B417" s="360">
        <v>49</v>
      </c>
      <c r="C417" s="897" t="s">
        <v>1618</v>
      </c>
      <c r="D417" s="897"/>
      <c r="E417" s="508"/>
      <c r="F417" s="508">
        <v>5</v>
      </c>
      <c r="G417" s="499"/>
      <c r="H417" s="577"/>
      <c r="I417" s="499"/>
      <c r="J417" s="342">
        <f>SUM(J412:J416)</f>
        <v>257000000</v>
      </c>
      <c r="K417" s="342">
        <f>SUM(K412:K416)</f>
        <v>262005000</v>
      </c>
      <c r="L417" s="91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4">
        <f>SUM(Y412:Y416)/5</f>
        <v>99.840522523102578</v>
      </c>
      <c r="Z417" s="94">
        <f>SUM(Z412:Z416)/5</f>
        <v>99.840522523102578</v>
      </c>
      <c r="AA417" s="342">
        <f>SUM(AA412:AA416)</f>
        <v>261305750</v>
      </c>
      <c r="AB417" s="94">
        <f>SUM(AB412:AB416)/5</f>
        <v>99.840522523102578</v>
      </c>
      <c r="AC417" s="342">
        <f>SUM(AC412:AC416)</f>
        <v>261305750</v>
      </c>
      <c r="AD417" s="94">
        <f>SUM(AD412:AD416)/5</f>
        <v>99.840522523102578</v>
      </c>
    </row>
    <row r="418" spans="2:30">
      <c r="B418" s="66"/>
      <c r="C418" s="63" t="s">
        <v>1619</v>
      </c>
      <c r="D418" s="64" t="s">
        <v>1620</v>
      </c>
      <c r="E418" s="484"/>
      <c r="F418" s="484"/>
      <c r="G418" s="472"/>
      <c r="H418" s="242"/>
      <c r="I418" s="472"/>
      <c r="J418" s="65"/>
      <c r="K418" s="65"/>
      <c r="L418" s="66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2:30">
      <c r="B419" s="13">
        <v>1</v>
      </c>
      <c r="C419" s="17" t="s">
        <v>206</v>
      </c>
      <c r="D419" s="39" t="s">
        <v>28</v>
      </c>
      <c r="E419" s="204"/>
      <c r="F419" s="204"/>
      <c r="G419" s="193"/>
      <c r="H419" s="89"/>
      <c r="I419" s="193"/>
      <c r="J419" s="15">
        <v>38810000</v>
      </c>
      <c r="K419" s="99">
        <v>41290000</v>
      </c>
      <c r="L419" s="13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53">
        <f>AB419</f>
        <v>11.189149915233713</v>
      </c>
      <c r="Z419" s="53">
        <f>AD419</f>
        <v>11.189149915233713</v>
      </c>
      <c r="AA419" s="22">
        <f>2775000+422560+417440+1005000</f>
        <v>4620000</v>
      </c>
      <c r="AB419" s="19">
        <f>AA419/K419*100</f>
        <v>11.189149915233713</v>
      </c>
      <c r="AC419" s="22">
        <f>AA419</f>
        <v>4620000</v>
      </c>
      <c r="AD419" s="19">
        <f>AC419/K419*100</f>
        <v>11.189149915233713</v>
      </c>
    </row>
    <row r="420" spans="2:30">
      <c r="B420" s="13">
        <f>B419+1</f>
        <v>2</v>
      </c>
      <c r="C420" s="17" t="s">
        <v>207</v>
      </c>
      <c r="D420" s="39" t="s">
        <v>30</v>
      </c>
      <c r="E420" s="204"/>
      <c r="F420" s="204"/>
      <c r="G420" s="193"/>
      <c r="H420" s="89"/>
      <c r="I420" s="193"/>
      <c r="J420" s="15">
        <v>4480000</v>
      </c>
      <c r="K420" s="99">
        <v>4480000</v>
      </c>
      <c r="L420" s="13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53">
        <f t="shared" ref="Y420:Y422" si="132">AB420</f>
        <v>25.78125</v>
      </c>
      <c r="Z420" s="53">
        <f t="shared" ref="Z420:Z422" si="133">AD420</f>
        <v>25.78125</v>
      </c>
      <c r="AA420" s="22">
        <f>1155000</f>
        <v>1155000</v>
      </c>
      <c r="AB420" s="19">
        <f t="shared" ref="AB420:AB422" si="134">AA420/K420*100</f>
        <v>25.78125</v>
      </c>
      <c r="AC420" s="22">
        <f>AA420</f>
        <v>1155000</v>
      </c>
      <c r="AD420" s="19">
        <f t="shared" ref="AD420:AD422" si="135">AC420/K420*100</f>
        <v>25.78125</v>
      </c>
    </row>
    <row r="421" spans="2:30">
      <c r="B421" s="13">
        <f>B420+1</f>
        <v>3</v>
      </c>
      <c r="C421" s="17" t="s">
        <v>208</v>
      </c>
      <c r="D421" s="39" t="s">
        <v>32</v>
      </c>
      <c r="E421" s="204"/>
      <c r="F421" s="204"/>
      <c r="G421" s="193"/>
      <c r="H421" s="89"/>
      <c r="I421" s="193"/>
      <c r="J421" s="15">
        <v>3510000</v>
      </c>
      <c r="K421" s="99">
        <v>7410000</v>
      </c>
      <c r="L421" s="13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53">
        <f t="shared" si="132"/>
        <v>94.601889338731453</v>
      </c>
      <c r="Z421" s="53">
        <f t="shared" si="133"/>
        <v>94.601889338731453</v>
      </c>
      <c r="AA421" s="99">
        <v>7010000</v>
      </c>
      <c r="AB421" s="19">
        <f t="shared" si="134"/>
        <v>94.601889338731453</v>
      </c>
      <c r="AC421" s="22">
        <f>AA421</f>
        <v>7010000</v>
      </c>
      <c r="AD421" s="19">
        <f t="shared" si="135"/>
        <v>94.601889338731453</v>
      </c>
    </row>
    <row r="422" spans="2:30">
      <c r="B422" s="47">
        <v>4</v>
      </c>
      <c r="C422" s="361" t="s">
        <v>205</v>
      </c>
      <c r="D422" s="317" t="s">
        <v>34</v>
      </c>
      <c r="E422" s="347"/>
      <c r="F422" s="347"/>
      <c r="G422" s="498"/>
      <c r="H422" s="105"/>
      <c r="I422" s="498"/>
      <c r="J422" s="15">
        <v>10200000</v>
      </c>
      <c r="K422" s="99">
        <v>10200000</v>
      </c>
      <c r="L422" s="47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3">
        <f t="shared" si="132"/>
        <v>100</v>
      </c>
      <c r="Z422" s="53">
        <f t="shared" si="133"/>
        <v>100</v>
      </c>
      <c r="AA422" s="99">
        <v>10200000</v>
      </c>
      <c r="AB422" s="19">
        <f t="shared" si="134"/>
        <v>100</v>
      </c>
      <c r="AC422" s="22">
        <f>AA422</f>
        <v>10200000</v>
      </c>
      <c r="AD422" s="19">
        <f t="shared" si="135"/>
        <v>100</v>
      </c>
    </row>
    <row r="423" spans="2:30" ht="18.75" customHeight="1">
      <c r="B423" s="360">
        <v>50</v>
      </c>
      <c r="C423" s="897" t="s">
        <v>1621</v>
      </c>
      <c r="D423" s="897"/>
      <c r="E423" s="508"/>
      <c r="F423" s="508">
        <v>4</v>
      </c>
      <c r="G423" s="499"/>
      <c r="H423" s="577"/>
      <c r="I423" s="499"/>
      <c r="J423" s="342">
        <f>SUM(J419:J422)</f>
        <v>57000000</v>
      </c>
      <c r="K423" s="342">
        <f>SUM(K419:K422)</f>
        <v>63380000</v>
      </c>
      <c r="L423" s="91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4">
        <f>SUM(Y419:Y422)/4</f>
        <v>57.893072313491288</v>
      </c>
      <c r="Z423" s="94">
        <f>SUM(Z419:Z422)/4</f>
        <v>57.893072313491288</v>
      </c>
      <c r="AA423" s="342">
        <f>SUM(AA419:AA422)</f>
        <v>22985000</v>
      </c>
      <c r="AB423" s="94">
        <f>SUM(AB419:AB422)/4</f>
        <v>57.893072313491288</v>
      </c>
      <c r="AC423" s="342">
        <f>SUM(AC419:AC422)</f>
        <v>22985000</v>
      </c>
      <c r="AD423" s="94">
        <f>SUM(AD419:AD422)/4</f>
        <v>57.893072313491288</v>
      </c>
    </row>
    <row r="424" spans="2:30">
      <c r="B424" s="66"/>
      <c r="C424" s="63" t="s">
        <v>1622</v>
      </c>
      <c r="D424" s="64" t="s">
        <v>1623</v>
      </c>
      <c r="E424" s="484"/>
      <c r="F424" s="484"/>
      <c r="G424" s="472"/>
      <c r="H424" s="242"/>
      <c r="I424" s="472"/>
      <c r="J424" s="65"/>
      <c r="K424" s="65"/>
      <c r="L424" s="66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2:30">
      <c r="B425" s="13">
        <v>1</v>
      </c>
      <c r="C425" s="17" t="s">
        <v>206</v>
      </c>
      <c r="D425" s="348" t="s">
        <v>28</v>
      </c>
      <c r="E425" s="204"/>
      <c r="F425" s="204"/>
      <c r="G425" s="193"/>
      <c r="H425" s="89"/>
      <c r="I425" s="193"/>
      <c r="J425" s="15">
        <v>46000000</v>
      </c>
      <c r="K425" s="99">
        <v>49380000</v>
      </c>
      <c r="L425" s="13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53">
        <f>AB425</f>
        <v>98.913932766302153</v>
      </c>
      <c r="Z425" s="53">
        <f>AD425</f>
        <v>98.913932766302153</v>
      </c>
      <c r="AA425" s="22">
        <v>48843700</v>
      </c>
      <c r="AB425" s="19">
        <f>AA425/K425*100</f>
        <v>98.913932766302153</v>
      </c>
      <c r="AC425" s="22">
        <f>AA425</f>
        <v>48843700</v>
      </c>
      <c r="AD425" s="19">
        <f>AC425/K425*100</f>
        <v>98.913932766302153</v>
      </c>
    </row>
    <row r="426" spans="2:30">
      <c r="B426" s="13">
        <f>B425+1</f>
        <v>2</v>
      </c>
      <c r="C426" s="17" t="s">
        <v>207</v>
      </c>
      <c r="D426" s="348" t="s">
        <v>30</v>
      </c>
      <c r="E426" s="204"/>
      <c r="F426" s="204"/>
      <c r="G426" s="193"/>
      <c r="H426" s="89"/>
      <c r="I426" s="193"/>
      <c r="J426" s="15">
        <v>3000000</v>
      </c>
      <c r="K426" s="99">
        <v>3000000</v>
      </c>
      <c r="L426" s="13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53">
        <f t="shared" ref="Y426:Y428" si="136">AB426</f>
        <v>100</v>
      </c>
      <c r="Z426" s="53">
        <f t="shared" ref="Z426:Z428" si="137">AD426</f>
        <v>100</v>
      </c>
      <c r="AA426" s="22">
        <v>3000000</v>
      </c>
      <c r="AB426" s="19">
        <f t="shared" ref="AB426:AB428" si="138">AA426/K426*100</f>
        <v>100</v>
      </c>
      <c r="AC426" s="22">
        <f>AA426</f>
        <v>3000000</v>
      </c>
      <c r="AD426" s="19">
        <f t="shared" ref="AD426:AD428" si="139">AC426/K426*100</f>
        <v>100</v>
      </c>
    </row>
    <row r="427" spans="2:30">
      <c r="B427" s="45">
        <f>B426+1</f>
        <v>3</v>
      </c>
      <c r="C427" s="44" t="s">
        <v>208</v>
      </c>
      <c r="D427" s="349" t="s">
        <v>32</v>
      </c>
      <c r="E427" s="489"/>
      <c r="F427" s="489"/>
      <c r="G427" s="240"/>
      <c r="H427" s="186"/>
      <c r="I427" s="240"/>
      <c r="J427" s="15">
        <v>2000000</v>
      </c>
      <c r="K427" s="99">
        <v>2000000</v>
      </c>
      <c r="L427" s="45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53">
        <f t="shared" si="136"/>
        <v>100</v>
      </c>
      <c r="Z427" s="53">
        <f t="shared" si="137"/>
        <v>100</v>
      </c>
      <c r="AA427" s="55">
        <v>2000000</v>
      </c>
      <c r="AB427" s="19">
        <f t="shared" si="138"/>
        <v>100</v>
      </c>
      <c r="AC427" s="55">
        <f>AA427</f>
        <v>2000000</v>
      </c>
      <c r="AD427" s="19">
        <f t="shared" si="139"/>
        <v>100</v>
      </c>
    </row>
    <row r="428" spans="2:30">
      <c r="B428" s="45">
        <f>B427+1</f>
        <v>4</v>
      </c>
      <c r="C428" s="316" t="s">
        <v>205</v>
      </c>
      <c r="D428" s="317" t="s">
        <v>34</v>
      </c>
      <c r="E428" s="347"/>
      <c r="F428" s="347"/>
      <c r="G428" s="498"/>
      <c r="H428" s="105"/>
      <c r="I428" s="498"/>
      <c r="J428" s="15">
        <v>6000000</v>
      </c>
      <c r="K428" s="99">
        <v>9000000</v>
      </c>
      <c r="L428" s="47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3">
        <f t="shared" si="136"/>
        <v>33.333333333333329</v>
      </c>
      <c r="Z428" s="53">
        <f t="shared" si="137"/>
        <v>33.333333333333329</v>
      </c>
      <c r="AA428" s="111">
        <v>3000000</v>
      </c>
      <c r="AB428" s="19">
        <f t="shared" si="138"/>
        <v>33.333333333333329</v>
      </c>
      <c r="AC428" s="55">
        <f>AA428</f>
        <v>3000000</v>
      </c>
      <c r="AD428" s="19">
        <f t="shared" si="139"/>
        <v>33.333333333333329</v>
      </c>
    </row>
    <row r="429" spans="2:30">
      <c r="B429" s="341">
        <v>51</v>
      </c>
      <c r="C429" s="897" t="s">
        <v>1624</v>
      </c>
      <c r="D429" s="897"/>
      <c r="E429" s="508"/>
      <c r="F429" s="508">
        <v>4</v>
      </c>
      <c r="G429" s="499"/>
      <c r="H429" s="577"/>
      <c r="I429" s="499"/>
      <c r="J429" s="342">
        <f>SUM(J425:J428)</f>
        <v>57000000</v>
      </c>
      <c r="K429" s="342">
        <f>SUM(K425:K428)</f>
        <v>63380000</v>
      </c>
      <c r="L429" s="91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4">
        <f>SUM(Y425:Y428)/4</f>
        <v>83.061816524908863</v>
      </c>
      <c r="Z429" s="94">
        <f>SUM(Z425:Z428)/4</f>
        <v>83.061816524908863</v>
      </c>
      <c r="AA429" s="342">
        <f>SUM(AA425:AA428)</f>
        <v>56843700</v>
      </c>
      <c r="AB429" s="94">
        <f>SUM(AB425:AB428)/4</f>
        <v>83.061816524908863</v>
      </c>
      <c r="AC429" s="342">
        <f>SUM(AC425:AC428)</f>
        <v>56843700</v>
      </c>
      <c r="AD429" s="94">
        <f>SUM(AD425:AD428)/4</f>
        <v>83.061816524908863</v>
      </c>
    </row>
    <row r="430" spans="2:30">
      <c r="B430" s="66"/>
      <c r="C430" s="63" t="s">
        <v>1625</v>
      </c>
      <c r="D430" s="64" t="s">
        <v>1626</v>
      </c>
      <c r="E430" s="484"/>
      <c r="F430" s="484"/>
      <c r="G430" s="472"/>
      <c r="H430" s="242"/>
      <c r="I430" s="472"/>
      <c r="J430" s="65"/>
      <c r="K430" s="65"/>
      <c r="L430" s="66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2:30">
      <c r="B431" s="13">
        <f>B430+1</f>
        <v>1</v>
      </c>
      <c r="C431" s="17" t="s">
        <v>206</v>
      </c>
      <c r="D431" s="39" t="s">
        <v>28</v>
      </c>
      <c r="E431" s="204"/>
      <c r="F431" s="204"/>
      <c r="G431" s="193"/>
      <c r="H431" s="89"/>
      <c r="I431" s="193"/>
      <c r="J431" s="15">
        <v>47200000</v>
      </c>
      <c r="K431" s="99">
        <v>53630000</v>
      </c>
      <c r="L431" s="13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53">
        <f>AB431</f>
        <v>95.782453850456832</v>
      </c>
      <c r="Z431" s="53">
        <f>AD431</f>
        <v>95.782453850456832</v>
      </c>
      <c r="AA431" s="22">
        <f>3600000+10520000+9423000+3495000+800000+895000+5000000+845790+4038300+1225000+10426040+1100000</f>
        <v>51368130</v>
      </c>
      <c r="AB431" s="19">
        <f>AA431/K431*100</f>
        <v>95.782453850456832</v>
      </c>
      <c r="AC431" s="22">
        <f>AA431</f>
        <v>51368130</v>
      </c>
      <c r="AD431" s="19">
        <f>AC431/K431*100</f>
        <v>95.782453850456832</v>
      </c>
    </row>
    <row r="432" spans="2:30">
      <c r="B432" s="13">
        <f>B431+1</f>
        <v>2</v>
      </c>
      <c r="C432" s="17" t="s">
        <v>207</v>
      </c>
      <c r="D432" s="39" t="s">
        <v>30</v>
      </c>
      <c r="E432" s="204"/>
      <c r="F432" s="204"/>
      <c r="G432" s="193"/>
      <c r="H432" s="89"/>
      <c r="I432" s="193"/>
      <c r="J432" s="15">
        <v>3000000</v>
      </c>
      <c r="K432" s="99">
        <v>3150000</v>
      </c>
      <c r="L432" s="13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53">
        <f>AB432</f>
        <v>86.349206349206355</v>
      </c>
      <c r="Z432" s="53">
        <f>AD432</f>
        <v>86.349206349206355</v>
      </c>
      <c r="AA432" s="22">
        <v>2720000</v>
      </c>
      <c r="AB432" s="19">
        <f t="shared" ref="AB432:AB434" si="140">AA432/K432*100</f>
        <v>86.349206349206355</v>
      </c>
      <c r="AC432" s="22">
        <f>AA432</f>
        <v>2720000</v>
      </c>
      <c r="AD432" s="19">
        <f t="shared" ref="AD432:AD434" si="141">AC432/K432*100</f>
        <v>86.349206349206355</v>
      </c>
    </row>
    <row r="433" spans="2:30">
      <c r="B433" s="13">
        <f>B432+1</f>
        <v>3</v>
      </c>
      <c r="C433" s="17" t="s">
        <v>208</v>
      </c>
      <c r="D433" s="39" t="s">
        <v>32</v>
      </c>
      <c r="E433" s="204"/>
      <c r="F433" s="204"/>
      <c r="G433" s="193"/>
      <c r="H433" s="89"/>
      <c r="I433" s="193"/>
      <c r="J433" s="15">
        <v>5000000</v>
      </c>
      <c r="K433" s="99">
        <v>5000000</v>
      </c>
      <c r="L433" s="13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53">
        <f>AB433</f>
        <v>90</v>
      </c>
      <c r="Z433" s="53">
        <f>AD433</f>
        <v>90</v>
      </c>
      <c r="AA433" s="22">
        <v>4500000</v>
      </c>
      <c r="AB433" s="19">
        <f t="shared" si="140"/>
        <v>90</v>
      </c>
      <c r="AC433" s="22">
        <f>AA433</f>
        <v>4500000</v>
      </c>
      <c r="AD433" s="19">
        <f t="shared" si="141"/>
        <v>90</v>
      </c>
    </row>
    <row r="434" spans="2:30">
      <c r="B434" s="45">
        <f>B433+1</f>
        <v>4</v>
      </c>
      <c r="C434" s="44" t="s">
        <v>209</v>
      </c>
      <c r="D434" s="78" t="s">
        <v>34</v>
      </c>
      <c r="E434" s="489"/>
      <c r="F434" s="489"/>
      <c r="G434" s="240"/>
      <c r="H434" s="186"/>
      <c r="I434" s="240"/>
      <c r="J434" s="15">
        <v>1800000</v>
      </c>
      <c r="K434" s="99">
        <v>1400000</v>
      </c>
      <c r="L434" s="45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55">
        <f>AB434</f>
        <v>100</v>
      </c>
      <c r="Z434" s="55">
        <f>AD434</f>
        <v>100</v>
      </c>
      <c r="AA434" s="73">
        <v>1400000</v>
      </c>
      <c r="AB434" s="19">
        <f t="shared" si="140"/>
        <v>100</v>
      </c>
      <c r="AC434" s="73">
        <f>AA434</f>
        <v>1400000</v>
      </c>
      <c r="AD434" s="19">
        <f t="shared" si="141"/>
        <v>100</v>
      </c>
    </row>
    <row r="435" spans="2:30">
      <c r="B435" s="341">
        <v>52</v>
      </c>
      <c r="C435" s="897" t="s">
        <v>1627</v>
      </c>
      <c r="D435" s="897"/>
      <c r="E435" s="508"/>
      <c r="F435" s="508">
        <v>4</v>
      </c>
      <c r="G435" s="499"/>
      <c r="H435" s="577"/>
      <c r="I435" s="499"/>
      <c r="J435" s="342">
        <f>SUM(J431:J434)</f>
        <v>57000000</v>
      </c>
      <c r="K435" s="342">
        <f>SUM(K431:K434)</f>
        <v>63180000</v>
      </c>
      <c r="L435" s="91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4">
        <f>SUM(Y431:Y434)/4</f>
        <v>93.0329150499158</v>
      </c>
      <c r="Z435" s="94">
        <f>SUM(Z431:Z434)/4</f>
        <v>93.0329150499158</v>
      </c>
      <c r="AA435" s="342">
        <f>SUM(AA431:AA434)</f>
        <v>59988130</v>
      </c>
      <c r="AB435" s="94">
        <f>SUM(AB431:AB434)/4</f>
        <v>93.0329150499158</v>
      </c>
      <c r="AC435" s="342">
        <f>SUM(AC431:AC434)</f>
        <v>59988130</v>
      </c>
      <c r="AD435" s="94">
        <f>SUM(AD431:AD434)/4</f>
        <v>93.0329150499158</v>
      </c>
    </row>
    <row r="436" spans="2:30">
      <c r="B436" s="66"/>
      <c r="C436" s="63" t="s">
        <v>1628</v>
      </c>
      <c r="D436" s="64" t="s">
        <v>1629</v>
      </c>
      <c r="E436" s="484"/>
      <c r="F436" s="484"/>
      <c r="G436" s="472"/>
      <c r="H436" s="242"/>
      <c r="I436" s="472"/>
      <c r="J436" s="65"/>
      <c r="K436" s="65"/>
      <c r="L436" s="66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2:30">
      <c r="B437" s="57">
        <v>1</v>
      </c>
      <c r="C437" s="17" t="s">
        <v>206</v>
      </c>
      <c r="D437" s="39" t="s">
        <v>28</v>
      </c>
      <c r="E437" s="204"/>
      <c r="F437" s="204"/>
      <c r="G437" s="193"/>
      <c r="H437" s="89"/>
      <c r="I437" s="193"/>
      <c r="J437" s="15">
        <v>50000000</v>
      </c>
      <c r="K437" s="99">
        <v>55005000</v>
      </c>
      <c r="L437" s="13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53">
        <f>AB437</f>
        <v>69.519925461321691</v>
      </c>
      <c r="Z437" s="53">
        <f>AD437</f>
        <v>69.519925461321691</v>
      </c>
      <c r="AA437" s="22">
        <f>18708855+9030000+246000+7704320+1482260+1068000</f>
        <v>38239435</v>
      </c>
      <c r="AB437" s="19">
        <f>AA437/K437*100</f>
        <v>69.519925461321691</v>
      </c>
      <c r="AC437" s="22">
        <f>AA437</f>
        <v>38239435</v>
      </c>
      <c r="AD437" s="19">
        <f>AC437/K437*100</f>
        <v>69.519925461321691</v>
      </c>
    </row>
    <row r="438" spans="2:30">
      <c r="B438" s="13">
        <v>2</v>
      </c>
      <c r="C438" s="17" t="s">
        <v>207</v>
      </c>
      <c r="D438" s="39" t="s">
        <v>30</v>
      </c>
      <c r="E438" s="204"/>
      <c r="F438" s="204"/>
      <c r="G438" s="193"/>
      <c r="H438" s="89"/>
      <c r="I438" s="193"/>
      <c r="J438" s="15">
        <v>3000000</v>
      </c>
      <c r="K438" s="99">
        <v>3000000</v>
      </c>
      <c r="L438" s="13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53">
        <f>AB438</f>
        <v>100</v>
      </c>
      <c r="Z438" s="53">
        <f>AD438</f>
        <v>100</v>
      </c>
      <c r="AA438" s="22">
        <v>3000000</v>
      </c>
      <c r="AB438" s="19">
        <f t="shared" ref="AB438:AB440" si="142">AA438/K438*100</f>
        <v>100</v>
      </c>
      <c r="AC438" s="22">
        <f>AA438</f>
        <v>3000000</v>
      </c>
      <c r="AD438" s="19">
        <f t="shared" ref="AD438:AD440" si="143">AC438/K438*100</f>
        <v>100</v>
      </c>
    </row>
    <row r="439" spans="2:30">
      <c r="B439" s="45">
        <v>3</v>
      </c>
      <c r="C439" s="44" t="s">
        <v>208</v>
      </c>
      <c r="D439" s="78" t="s">
        <v>32</v>
      </c>
      <c r="E439" s="489"/>
      <c r="F439" s="489"/>
      <c r="G439" s="240"/>
      <c r="H439" s="186"/>
      <c r="I439" s="240"/>
      <c r="J439" s="15">
        <v>4000000</v>
      </c>
      <c r="K439" s="99">
        <v>4000000</v>
      </c>
      <c r="L439" s="45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55">
        <f>AB439</f>
        <v>100</v>
      </c>
      <c r="Z439" s="55">
        <f>AD439</f>
        <v>100</v>
      </c>
      <c r="AA439" s="73">
        <v>4000000</v>
      </c>
      <c r="AB439" s="19">
        <f t="shared" si="142"/>
        <v>100</v>
      </c>
      <c r="AC439" s="55">
        <f>AA439</f>
        <v>4000000</v>
      </c>
      <c r="AD439" s="19">
        <f t="shared" si="143"/>
        <v>100</v>
      </c>
    </row>
    <row r="440" spans="2:30" ht="25.5">
      <c r="B440" s="113">
        <v>4</v>
      </c>
      <c r="C440" s="331" t="s">
        <v>1630</v>
      </c>
      <c r="D440" s="21" t="s">
        <v>1631</v>
      </c>
      <c r="E440" s="347"/>
      <c r="F440" s="347"/>
      <c r="G440" s="498"/>
      <c r="H440" s="105"/>
      <c r="I440" s="498"/>
      <c r="J440" s="15">
        <v>10000000</v>
      </c>
      <c r="K440" s="99">
        <v>10000000</v>
      </c>
      <c r="L440" s="47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5">
        <f>AB440</f>
        <v>0</v>
      </c>
      <c r="Z440" s="55">
        <f>AD440</f>
        <v>0</v>
      </c>
      <c r="AA440" s="112"/>
      <c r="AB440" s="19">
        <f t="shared" si="142"/>
        <v>0</v>
      </c>
      <c r="AC440" s="111"/>
      <c r="AD440" s="19">
        <f t="shared" si="143"/>
        <v>0</v>
      </c>
    </row>
    <row r="441" spans="2:30" ht="17.25" customHeight="1">
      <c r="B441" s="341">
        <v>53</v>
      </c>
      <c r="C441" s="897" t="s">
        <v>1632</v>
      </c>
      <c r="D441" s="897"/>
      <c r="E441" s="508"/>
      <c r="F441" s="508">
        <v>4</v>
      </c>
      <c r="G441" s="499"/>
      <c r="H441" s="577"/>
      <c r="I441" s="499"/>
      <c r="J441" s="342">
        <f>SUM(J437:J440)</f>
        <v>67000000</v>
      </c>
      <c r="K441" s="342">
        <f>SUM(K437:K440)</f>
        <v>72005000</v>
      </c>
      <c r="L441" s="91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4">
        <f>SUM(Y437:Y439)/4</f>
        <v>67.379981365330423</v>
      </c>
      <c r="Z441" s="94">
        <f>SUM(Z437:Z439)/4</f>
        <v>67.379981365330423</v>
      </c>
      <c r="AA441" s="342">
        <f>SUM(AA437:AA440)</f>
        <v>45239435</v>
      </c>
      <c r="AB441" s="94">
        <f>SUM(AB437:AB439)/4</f>
        <v>67.379981365330423</v>
      </c>
      <c r="AC441" s="342">
        <f>SUM(AC437:AC440)</f>
        <v>45239435</v>
      </c>
      <c r="AD441" s="94">
        <f>SUM(AD437:AD439)/4</f>
        <v>67.379981365330423</v>
      </c>
    </row>
    <row r="442" spans="2:30">
      <c r="B442" s="62"/>
      <c r="C442" s="63" t="s">
        <v>1633</v>
      </c>
      <c r="D442" s="64" t="s">
        <v>1634</v>
      </c>
      <c r="E442" s="484"/>
      <c r="F442" s="484"/>
      <c r="G442" s="472"/>
      <c r="H442" s="242"/>
      <c r="I442" s="472"/>
      <c r="J442" s="65"/>
      <c r="K442" s="65"/>
      <c r="L442" s="66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2:30">
      <c r="B443" s="13">
        <v>1</v>
      </c>
      <c r="C443" s="17" t="s">
        <v>206</v>
      </c>
      <c r="D443" s="39" t="s">
        <v>28</v>
      </c>
      <c r="E443" s="204"/>
      <c r="F443" s="204"/>
      <c r="G443" s="193"/>
      <c r="H443" s="89"/>
      <c r="I443" s="193"/>
      <c r="J443" s="15">
        <v>41000000</v>
      </c>
      <c r="K443" s="99">
        <v>46005000</v>
      </c>
      <c r="L443" s="13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53">
        <f>AB443</f>
        <v>98.491381371590052</v>
      </c>
      <c r="Z443" s="53">
        <f>AD443</f>
        <v>98.491381371590052</v>
      </c>
      <c r="AA443" s="22">
        <v>45310960</v>
      </c>
      <c r="AB443" s="19">
        <f>AA443/K443*100</f>
        <v>98.491381371590052</v>
      </c>
      <c r="AC443" s="53">
        <f>AA443</f>
        <v>45310960</v>
      </c>
      <c r="AD443" s="19">
        <f>AC443/K443*100</f>
        <v>98.491381371590052</v>
      </c>
    </row>
    <row r="444" spans="2:30">
      <c r="B444" s="13">
        <v>2</v>
      </c>
      <c r="C444" s="17" t="s">
        <v>207</v>
      </c>
      <c r="D444" s="39" t="s">
        <v>30</v>
      </c>
      <c r="E444" s="204"/>
      <c r="F444" s="204"/>
      <c r="G444" s="193"/>
      <c r="H444" s="89"/>
      <c r="I444" s="193"/>
      <c r="J444" s="15">
        <v>4000000</v>
      </c>
      <c r="K444" s="99">
        <v>4000000</v>
      </c>
      <c r="L444" s="13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53">
        <f>AB444</f>
        <v>100</v>
      </c>
      <c r="Z444" s="53">
        <f>AD444</f>
        <v>100</v>
      </c>
      <c r="AA444" s="22">
        <v>4000000</v>
      </c>
      <c r="AB444" s="19">
        <f t="shared" ref="AB444:AB446" si="144">AA444/K444*100</f>
        <v>100</v>
      </c>
      <c r="AC444" s="53">
        <f>AA444</f>
        <v>4000000</v>
      </c>
      <c r="AD444" s="19">
        <f t="shared" ref="AD444:AD446" si="145">AC444/K444*100</f>
        <v>100</v>
      </c>
    </row>
    <row r="445" spans="2:30">
      <c r="B445" s="13">
        <f>B444+1</f>
        <v>3</v>
      </c>
      <c r="C445" s="17" t="s">
        <v>208</v>
      </c>
      <c r="D445" s="39" t="s">
        <v>32</v>
      </c>
      <c r="E445" s="204"/>
      <c r="F445" s="204"/>
      <c r="G445" s="193"/>
      <c r="H445" s="89"/>
      <c r="I445" s="193"/>
      <c r="J445" s="15">
        <v>3000000</v>
      </c>
      <c r="K445" s="99">
        <v>3000000</v>
      </c>
      <c r="L445" s="13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53">
        <f>AB445</f>
        <v>100</v>
      </c>
      <c r="Z445" s="53">
        <f>AD445</f>
        <v>100</v>
      </c>
      <c r="AA445" s="22">
        <v>3000000</v>
      </c>
      <c r="AB445" s="19">
        <f t="shared" si="144"/>
        <v>100</v>
      </c>
      <c r="AC445" s="53">
        <f>AA445</f>
        <v>3000000</v>
      </c>
      <c r="AD445" s="19">
        <f t="shared" si="145"/>
        <v>100</v>
      </c>
    </row>
    <row r="446" spans="2:30">
      <c r="B446" s="45">
        <f>B445+1</f>
        <v>4</v>
      </c>
      <c r="C446" s="44" t="s">
        <v>209</v>
      </c>
      <c r="D446" s="78" t="s">
        <v>34</v>
      </c>
      <c r="E446" s="489"/>
      <c r="F446" s="489"/>
      <c r="G446" s="240"/>
      <c r="H446" s="186"/>
      <c r="I446" s="240"/>
      <c r="J446" s="15">
        <v>9000000</v>
      </c>
      <c r="K446" s="99">
        <v>9000000</v>
      </c>
      <c r="L446" s="45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55">
        <f>AB446</f>
        <v>100</v>
      </c>
      <c r="Z446" s="55">
        <f>AD446</f>
        <v>100</v>
      </c>
      <c r="AA446" s="73">
        <v>9000000</v>
      </c>
      <c r="AB446" s="19">
        <f t="shared" si="144"/>
        <v>100</v>
      </c>
      <c r="AC446" s="55">
        <f>AA446</f>
        <v>9000000</v>
      </c>
      <c r="AD446" s="19">
        <f t="shared" si="145"/>
        <v>100</v>
      </c>
    </row>
    <row r="447" spans="2:30">
      <c r="B447" s="341">
        <v>54</v>
      </c>
      <c r="C447" s="897" t="s">
        <v>1635</v>
      </c>
      <c r="D447" s="897"/>
      <c r="E447" s="508"/>
      <c r="F447" s="508">
        <v>4</v>
      </c>
      <c r="G447" s="499"/>
      <c r="H447" s="577"/>
      <c r="I447" s="499"/>
      <c r="J447" s="342">
        <f>SUM(J443:J446)</f>
        <v>57000000</v>
      </c>
      <c r="K447" s="342">
        <f>SUM(K443:K446)</f>
        <v>62005000</v>
      </c>
      <c r="L447" s="91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342">
        <f>SUM(Y443:Y446)/4</f>
        <v>99.622845342897506</v>
      </c>
      <c r="Z447" s="342">
        <f>SUM(Z443:Z446)/4</f>
        <v>99.622845342897506</v>
      </c>
      <c r="AA447" s="342">
        <f>SUM(AA443:AA446)</f>
        <v>61310960</v>
      </c>
      <c r="AB447" s="342">
        <f>SUM(AB443:AB446)/4</f>
        <v>99.622845342897506</v>
      </c>
      <c r="AC447" s="342">
        <f>SUM(AC443:AC446)</f>
        <v>61310960</v>
      </c>
      <c r="AD447" s="342">
        <f>SUM(AD443:AD446)/4</f>
        <v>99.622845342897506</v>
      </c>
    </row>
    <row r="448" spans="2:30">
      <c r="B448" s="62"/>
      <c r="C448" s="63" t="s">
        <v>1636</v>
      </c>
      <c r="D448" s="64" t="s">
        <v>1637</v>
      </c>
      <c r="E448" s="484"/>
      <c r="F448" s="484"/>
      <c r="G448" s="472"/>
      <c r="H448" s="242"/>
      <c r="I448" s="472"/>
      <c r="J448" s="65"/>
      <c r="K448" s="65"/>
      <c r="L448" s="66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2:30">
      <c r="B449" s="13">
        <v>1</v>
      </c>
      <c r="C449" s="17" t="s">
        <v>206</v>
      </c>
      <c r="D449" s="39" t="s">
        <v>28</v>
      </c>
      <c r="E449" s="204"/>
      <c r="F449" s="204"/>
      <c r="G449" s="193"/>
      <c r="H449" s="89"/>
      <c r="I449" s="193"/>
      <c r="J449" s="15">
        <v>36570000</v>
      </c>
      <c r="K449" s="99">
        <v>42124000</v>
      </c>
      <c r="L449" s="13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53">
        <f>AB449</f>
        <v>0</v>
      </c>
      <c r="Z449" s="53">
        <f>AD449</f>
        <v>0</v>
      </c>
      <c r="AA449" s="22"/>
      <c r="AB449" s="19">
        <f>AA449/K449*100</f>
        <v>0</v>
      </c>
      <c r="AC449" s="22">
        <f>AA449</f>
        <v>0</v>
      </c>
      <c r="AD449" s="19">
        <f>AC449/K449*100</f>
        <v>0</v>
      </c>
    </row>
    <row r="450" spans="2:30">
      <c r="B450" s="13">
        <v>2</v>
      </c>
      <c r="C450" s="17" t="s">
        <v>207</v>
      </c>
      <c r="D450" s="39" t="s">
        <v>30</v>
      </c>
      <c r="E450" s="204"/>
      <c r="F450" s="204"/>
      <c r="G450" s="193"/>
      <c r="H450" s="89"/>
      <c r="I450" s="193"/>
      <c r="J450" s="15">
        <v>2800000</v>
      </c>
      <c r="K450" s="99">
        <v>2800000</v>
      </c>
      <c r="L450" s="13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53">
        <f>AB450</f>
        <v>0</v>
      </c>
      <c r="Z450" s="53">
        <f>AD450</f>
        <v>0</v>
      </c>
      <c r="AA450" s="22"/>
      <c r="AB450" s="19">
        <f t="shared" ref="AB450:AB452" si="146">AA450/K450*100</f>
        <v>0</v>
      </c>
      <c r="AC450" s="22">
        <f>AA450</f>
        <v>0</v>
      </c>
      <c r="AD450" s="19">
        <f t="shared" ref="AD450:AD452" si="147">AC450/K450*100</f>
        <v>0</v>
      </c>
    </row>
    <row r="451" spans="2:30">
      <c r="B451" s="13">
        <f>B450+1</f>
        <v>3</v>
      </c>
      <c r="C451" s="17" t="s">
        <v>208</v>
      </c>
      <c r="D451" s="39" t="s">
        <v>32</v>
      </c>
      <c r="E451" s="204"/>
      <c r="F451" s="204"/>
      <c r="G451" s="193"/>
      <c r="H451" s="89"/>
      <c r="I451" s="193"/>
      <c r="J451" s="15">
        <v>4230000</v>
      </c>
      <c r="K451" s="99">
        <v>4230000</v>
      </c>
      <c r="L451" s="13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53">
        <f>AB451</f>
        <v>0</v>
      </c>
      <c r="Z451" s="53">
        <f>AD451</f>
        <v>0</v>
      </c>
      <c r="AA451" s="22"/>
      <c r="AB451" s="19">
        <f t="shared" si="146"/>
        <v>0</v>
      </c>
      <c r="AC451" s="22">
        <f>AA451</f>
        <v>0</v>
      </c>
      <c r="AD451" s="19">
        <f t="shared" si="147"/>
        <v>0</v>
      </c>
    </row>
    <row r="452" spans="2:30">
      <c r="B452" s="45">
        <f>B451+1</f>
        <v>4</v>
      </c>
      <c r="C452" s="44" t="s">
        <v>209</v>
      </c>
      <c r="D452" s="78" t="s">
        <v>34</v>
      </c>
      <c r="E452" s="489"/>
      <c r="F452" s="489"/>
      <c r="G452" s="240"/>
      <c r="H452" s="186"/>
      <c r="I452" s="240"/>
      <c r="J452" s="15">
        <v>13400000</v>
      </c>
      <c r="K452" s="99">
        <v>13400000</v>
      </c>
      <c r="L452" s="45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55">
        <f>AB452</f>
        <v>0</v>
      </c>
      <c r="Z452" s="55">
        <f>AD452</f>
        <v>0</v>
      </c>
      <c r="AA452" s="73"/>
      <c r="AB452" s="19">
        <f t="shared" si="146"/>
        <v>0</v>
      </c>
      <c r="AC452" s="73">
        <f>AA452</f>
        <v>0</v>
      </c>
      <c r="AD452" s="19">
        <f t="shared" si="147"/>
        <v>0</v>
      </c>
    </row>
    <row r="453" spans="2:30">
      <c r="B453" s="341">
        <v>55</v>
      </c>
      <c r="C453" s="897" t="s">
        <v>1638</v>
      </c>
      <c r="D453" s="897"/>
      <c r="E453" s="508"/>
      <c r="F453" s="508">
        <v>4</v>
      </c>
      <c r="G453" s="499"/>
      <c r="H453" s="577"/>
      <c r="I453" s="499"/>
      <c r="J453" s="342">
        <f>SUM(J449:J452)</f>
        <v>57000000</v>
      </c>
      <c r="K453" s="342">
        <f>SUM(K449:K452)</f>
        <v>62554000</v>
      </c>
      <c r="L453" s="91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4">
        <f>SUM(Y449:Y452)/4</f>
        <v>0</v>
      </c>
      <c r="Z453" s="94">
        <f>SUM(Z449:Z452)/4</f>
        <v>0</v>
      </c>
      <c r="AA453" s="342">
        <f>SUM(AA449:AA452)</f>
        <v>0</v>
      </c>
      <c r="AB453" s="94">
        <f>SUM(AB449:AB452)/4</f>
        <v>0</v>
      </c>
      <c r="AC453" s="342">
        <f>SUM(AC449:AC452)</f>
        <v>0</v>
      </c>
      <c r="AD453" s="94">
        <f>SUM(AD449:AD452)/4</f>
        <v>0</v>
      </c>
    </row>
    <row r="454" spans="2:30">
      <c r="B454" s="62"/>
      <c r="C454" s="63" t="s">
        <v>1639</v>
      </c>
      <c r="D454" s="64" t="s">
        <v>1640</v>
      </c>
      <c r="E454" s="484"/>
      <c r="F454" s="484"/>
      <c r="G454" s="472"/>
      <c r="H454" s="242"/>
      <c r="I454" s="472"/>
      <c r="J454" s="65"/>
      <c r="K454" s="65"/>
      <c r="L454" s="66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2:30">
      <c r="B455" s="13">
        <v>1</v>
      </c>
      <c r="C455" s="17" t="s">
        <v>206</v>
      </c>
      <c r="D455" s="39" t="s">
        <v>28</v>
      </c>
      <c r="E455" s="204"/>
      <c r="F455" s="204"/>
      <c r="G455" s="193"/>
      <c r="H455" s="89"/>
      <c r="I455" s="193"/>
      <c r="J455" s="15">
        <v>42000000</v>
      </c>
      <c r="K455" s="99">
        <v>47005000</v>
      </c>
      <c r="L455" s="13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22">
        <f>AB455</f>
        <v>0</v>
      </c>
      <c r="Z455" s="22">
        <f>AD455</f>
        <v>0</v>
      </c>
      <c r="AA455" s="22"/>
      <c r="AB455" s="19">
        <f>AA455/K455*100</f>
        <v>0</v>
      </c>
      <c r="AC455" s="22">
        <f>AA455</f>
        <v>0</v>
      </c>
      <c r="AD455" s="19">
        <f>AC455/K455*100</f>
        <v>0</v>
      </c>
    </row>
    <row r="456" spans="2:30">
      <c r="B456" s="13">
        <v>2</v>
      </c>
      <c r="C456" s="17" t="s">
        <v>207</v>
      </c>
      <c r="D456" s="39" t="s">
        <v>30</v>
      </c>
      <c r="E456" s="204"/>
      <c r="F456" s="204"/>
      <c r="G456" s="193"/>
      <c r="H456" s="89"/>
      <c r="I456" s="193"/>
      <c r="J456" s="15">
        <v>3500000</v>
      </c>
      <c r="K456" s="99">
        <v>3500000</v>
      </c>
      <c r="L456" s="13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22">
        <f>AB456</f>
        <v>0</v>
      </c>
      <c r="Z456" s="22">
        <f>AD456</f>
        <v>0</v>
      </c>
      <c r="AA456" s="22"/>
      <c r="AB456" s="19">
        <f t="shared" ref="AB456:AB457" si="148">AA456/K456*100</f>
        <v>0</v>
      </c>
      <c r="AC456" s="22">
        <f>AA456</f>
        <v>0</v>
      </c>
      <c r="AD456" s="19">
        <f t="shared" ref="AD456:AD457" si="149">AC456/K456*100</f>
        <v>0</v>
      </c>
    </row>
    <row r="457" spans="2:30" ht="25.5" customHeight="1">
      <c r="B457" s="13">
        <v>3</v>
      </c>
      <c r="C457" s="17" t="s">
        <v>208</v>
      </c>
      <c r="D457" s="39" t="s">
        <v>32</v>
      </c>
      <c r="E457" s="204"/>
      <c r="F457" s="204"/>
      <c r="G457" s="193"/>
      <c r="H457" s="89"/>
      <c r="I457" s="193"/>
      <c r="J457" s="15">
        <v>11500000</v>
      </c>
      <c r="K457" s="99">
        <v>11500000</v>
      </c>
      <c r="L457" s="13"/>
      <c r="M457" s="17" t="s">
        <v>1</v>
      </c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22">
        <f>AB457</f>
        <v>0</v>
      </c>
      <c r="Z457" s="22">
        <f>AD457</f>
        <v>0</v>
      </c>
      <c r="AA457" s="22"/>
      <c r="AB457" s="19">
        <f t="shared" si="148"/>
        <v>0</v>
      </c>
      <c r="AC457" s="22">
        <f>AA457</f>
        <v>0</v>
      </c>
      <c r="AD457" s="19">
        <f t="shared" si="149"/>
        <v>0</v>
      </c>
    </row>
    <row r="458" spans="2:30" ht="18.75" customHeight="1">
      <c r="B458" s="341">
        <v>56</v>
      </c>
      <c r="C458" s="897" t="s">
        <v>1641</v>
      </c>
      <c r="D458" s="897"/>
      <c r="E458" s="508"/>
      <c r="F458" s="508">
        <v>3</v>
      </c>
      <c r="G458" s="499"/>
      <c r="H458" s="577"/>
      <c r="I458" s="499"/>
      <c r="J458" s="342">
        <f>SUM(J455:J457)</f>
        <v>57000000</v>
      </c>
      <c r="K458" s="342">
        <f>SUM(K455:K457)</f>
        <v>62005000</v>
      </c>
      <c r="L458" s="91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362">
        <f>SUM(Y455:Y457)/3</f>
        <v>0</v>
      </c>
      <c r="Z458" s="362">
        <f>SUM(Z455:Z457)/3</f>
        <v>0</v>
      </c>
      <c r="AA458" s="363">
        <f>SUM(AA455:AA457)</f>
        <v>0</v>
      </c>
      <c r="AB458" s="362">
        <f>SUM(AB455:AB457)/3</f>
        <v>0</v>
      </c>
      <c r="AC458" s="363">
        <f>SUM(AC455:AC457)</f>
        <v>0</v>
      </c>
      <c r="AD458" s="362">
        <f>SUM(AD455:AD457)/3</f>
        <v>0</v>
      </c>
    </row>
    <row r="459" spans="2:30">
      <c r="B459" s="66"/>
      <c r="C459" s="63" t="s">
        <v>1642</v>
      </c>
      <c r="D459" s="64" t="s">
        <v>1643</v>
      </c>
      <c r="E459" s="484"/>
      <c r="F459" s="484"/>
      <c r="G459" s="472"/>
      <c r="H459" s="242"/>
      <c r="I459" s="472"/>
      <c r="J459" s="65"/>
      <c r="K459" s="65"/>
      <c r="L459" s="66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2:30">
      <c r="B460" s="57">
        <v>1</v>
      </c>
      <c r="C460" s="17" t="s">
        <v>206</v>
      </c>
      <c r="D460" s="39" t="s">
        <v>28</v>
      </c>
      <c r="E460" s="204"/>
      <c r="F460" s="204"/>
      <c r="G460" s="193"/>
      <c r="H460" s="89"/>
      <c r="I460" s="193"/>
      <c r="J460" s="15">
        <v>45180000</v>
      </c>
      <c r="K460" s="99">
        <v>45560000</v>
      </c>
      <c r="L460" s="13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53">
        <f>AB460</f>
        <v>96.522115891132572</v>
      </c>
      <c r="Z460" s="53">
        <f>AD460</f>
        <v>96.522115891132572</v>
      </c>
      <c r="AA460" s="22">
        <f>20495596+5114880+10520000+7845000</f>
        <v>43975476</v>
      </c>
      <c r="AB460" s="19">
        <f>AA460/K460*100</f>
        <v>96.522115891132572</v>
      </c>
      <c r="AC460" s="22">
        <f>AA460</f>
        <v>43975476</v>
      </c>
      <c r="AD460" s="19">
        <f>AC460/K460*100</f>
        <v>96.522115891132572</v>
      </c>
    </row>
    <row r="461" spans="2:30" ht="18" customHeight="1">
      <c r="B461" s="13">
        <v>2</v>
      </c>
      <c r="C461" s="17" t="s">
        <v>207</v>
      </c>
      <c r="D461" s="39" t="s">
        <v>30</v>
      </c>
      <c r="E461" s="204"/>
      <c r="F461" s="204"/>
      <c r="G461" s="193"/>
      <c r="H461" s="89"/>
      <c r="I461" s="193"/>
      <c r="J461" s="15">
        <v>4120000</v>
      </c>
      <c r="K461" s="99">
        <v>4120000</v>
      </c>
      <c r="L461" s="13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53">
        <f>AB461</f>
        <v>100</v>
      </c>
      <c r="Z461" s="53">
        <f>AD461</f>
        <v>100</v>
      </c>
      <c r="AA461" s="22">
        <v>4120000</v>
      </c>
      <c r="AB461" s="19">
        <f t="shared" ref="AB461:AB464" si="150">AA461/K461*100</f>
        <v>100</v>
      </c>
      <c r="AC461" s="22">
        <f>AA461</f>
        <v>4120000</v>
      </c>
      <c r="AD461" s="19">
        <f t="shared" ref="AD461:AD464" si="151">AC461/K461*100</f>
        <v>100</v>
      </c>
    </row>
    <row r="462" spans="2:30">
      <c r="B462" s="13">
        <v>3</v>
      </c>
      <c r="C462" s="17" t="s">
        <v>208</v>
      </c>
      <c r="D462" s="39" t="s">
        <v>32</v>
      </c>
      <c r="E462" s="204"/>
      <c r="F462" s="204"/>
      <c r="G462" s="193"/>
      <c r="H462" s="89"/>
      <c r="I462" s="193"/>
      <c r="J462" s="15">
        <v>2700000</v>
      </c>
      <c r="K462" s="99">
        <v>2700000</v>
      </c>
      <c r="L462" s="13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53">
        <f>AB462</f>
        <v>100</v>
      </c>
      <c r="Z462" s="53">
        <f>AD462</f>
        <v>100</v>
      </c>
      <c r="AA462" s="22">
        <v>2700000</v>
      </c>
      <c r="AB462" s="19">
        <f t="shared" si="150"/>
        <v>100</v>
      </c>
      <c r="AC462" s="22">
        <f>AA462</f>
        <v>2700000</v>
      </c>
      <c r="AD462" s="19">
        <f t="shared" si="151"/>
        <v>100</v>
      </c>
    </row>
    <row r="463" spans="2:30" ht="17.25" customHeight="1">
      <c r="B463" s="45">
        <f>B462+1</f>
        <v>4</v>
      </c>
      <c r="C463" s="44" t="s">
        <v>209</v>
      </c>
      <c r="D463" s="78" t="s">
        <v>34</v>
      </c>
      <c r="E463" s="489"/>
      <c r="F463" s="489"/>
      <c r="G463" s="240"/>
      <c r="H463" s="186"/>
      <c r="I463" s="240"/>
      <c r="J463" s="79">
        <v>5000000</v>
      </c>
      <c r="K463" s="99">
        <v>11000000</v>
      </c>
      <c r="L463" s="45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55">
        <f>AB463</f>
        <v>100</v>
      </c>
      <c r="Z463" s="55">
        <f>AD463</f>
        <v>100</v>
      </c>
      <c r="AA463" s="73">
        <v>11000000</v>
      </c>
      <c r="AB463" s="19">
        <f t="shared" si="150"/>
        <v>100</v>
      </c>
      <c r="AC463" s="55">
        <f>AA463</f>
        <v>11000000</v>
      </c>
      <c r="AD463" s="19">
        <f t="shared" si="151"/>
        <v>100</v>
      </c>
    </row>
    <row r="464" spans="2:30" ht="27.75" customHeight="1">
      <c r="B464" s="32">
        <v>5</v>
      </c>
      <c r="C464" s="359" t="s">
        <v>1630</v>
      </c>
      <c r="D464" s="330" t="s">
        <v>1631</v>
      </c>
      <c r="E464" s="507"/>
      <c r="F464" s="489"/>
      <c r="G464" s="240"/>
      <c r="H464" s="186"/>
      <c r="I464" s="240"/>
      <c r="J464" s="15">
        <v>10000000</v>
      </c>
      <c r="K464" s="99">
        <v>10000000</v>
      </c>
      <c r="L464" s="32"/>
      <c r="M464" s="33"/>
      <c r="N464" s="33"/>
      <c r="O464" s="33"/>
      <c r="P464" s="33"/>
      <c r="Q464" s="33"/>
      <c r="R464" s="44"/>
      <c r="S464" s="44"/>
      <c r="T464" s="44"/>
      <c r="U464" s="44"/>
      <c r="V464" s="44"/>
      <c r="W464" s="44"/>
      <c r="X464" s="44"/>
      <c r="Y464" s="55">
        <f>AB464</f>
        <v>100</v>
      </c>
      <c r="Z464" s="55">
        <f>AD464</f>
        <v>100</v>
      </c>
      <c r="AA464" s="325">
        <v>10000000</v>
      </c>
      <c r="AB464" s="19">
        <f t="shared" si="150"/>
        <v>100</v>
      </c>
      <c r="AC464" s="56">
        <f>AA464</f>
        <v>10000000</v>
      </c>
      <c r="AD464" s="19">
        <f t="shared" si="151"/>
        <v>100</v>
      </c>
    </row>
    <row r="465" spans="2:31" ht="17.25" customHeight="1">
      <c r="B465" s="341">
        <v>57</v>
      </c>
      <c r="C465" s="897" t="s">
        <v>1644</v>
      </c>
      <c r="D465" s="897"/>
      <c r="E465" s="508"/>
      <c r="F465" s="508">
        <v>5</v>
      </c>
      <c r="G465" s="499"/>
      <c r="H465" s="577"/>
      <c r="I465" s="499"/>
      <c r="J465" s="342">
        <f>SUM(J460:J464)</f>
        <v>67000000</v>
      </c>
      <c r="K465" s="342">
        <f>SUM(K460:K464)</f>
        <v>73380000</v>
      </c>
      <c r="L465" s="91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364">
        <f>SUM(Y460:Y464)/5</f>
        <v>99.304423178226514</v>
      </c>
      <c r="Z465" s="364">
        <f>SUM(Z460:Z464)/5</f>
        <v>99.304423178226514</v>
      </c>
      <c r="AA465" s="365">
        <f>SUM(AA460:AA464)</f>
        <v>71795476</v>
      </c>
      <c r="AB465" s="364">
        <f>SUM(AB460:AB464)/5</f>
        <v>99.304423178226514</v>
      </c>
      <c r="AC465" s="365">
        <f>SUM(AC460:AC464)</f>
        <v>71795476</v>
      </c>
      <c r="AD465" s="364">
        <f>SUM(AD460:AD464)/5</f>
        <v>99.304423178226514</v>
      </c>
    </row>
    <row r="466" spans="2:31">
      <c r="B466" s="62"/>
      <c r="C466" s="63" t="s">
        <v>1645</v>
      </c>
      <c r="D466" s="64" t="s">
        <v>1646</v>
      </c>
      <c r="E466" s="484"/>
      <c r="F466" s="484"/>
      <c r="G466" s="472"/>
      <c r="H466" s="242"/>
      <c r="I466" s="472"/>
      <c r="J466" s="65"/>
      <c r="K466" s="65"/>
      <c r="L466" s="66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2:31">
      <c r="B467" s="13">
        <v>1</v>
      </c>
      <c r="C467" s="17" t="s">
        <v>206</v>
      </c>
      <c r="D467" s="39" t="s">
        <v>28</v>
      </c>
      <c r="E467" s="204"/>
      <c r="F467" s="204"/>
      <c r="G467" s="193"/>
      <c r="H467" s="89"/>
      <c r="I467" s="193"/>
      <c r="J467" s="15">
        <v>39200000</v>
      </c>
      <c r="K467" s="99">
        <v>44805000</v>
      </c>
      <c r="L467" s="13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9">
        <f>AB467</f>
        <v>93.834105568574927</v>
      </c>
      <c r="Z467" s="98">
        <f>AB467</f>
        <v>93.834105568574927</v>
      </c>
      <c r="AA467" s="99">
        <v>42042371</v>
      </c>
      <c r="AB467" s="98">
        <f>AA467/K467*100</f>
        <v>93.834105568574927</v>
      </c>
      <c r="AC467" s="99">
        <f>AA467</f>
        <v>42042371</v>
      </c>
      <c r="AD467" s="98">
        <f>AC467/K467*100</f>
        <v>93.834105568574927</v>
      </c>
      <c r="AE467" s="69"/>
    </row>
    <row r="468" spans="2:31">
      <c r="B468" s="13">
        <v>2</v>
      </c>
      <c r="C468" s="17" t="s">
        <v>207</v>
      </c>
      <c r="D468" s="39" t="s">
        <v>30</v>
      </c>
      <c r="E468" s="204"/>
      <c r="F468" s="204"/>
      <c r="G468" s="193"/>
      <c r="H468" s="89"/>
      <c r="I468" s="193"/>
      <c r="J468" s="15">
        <v>4200000</v>
      </c>
      <c r="K468" s="99">
        <v>4200000</v>
      </c>
      <c r="L468" s="13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9">
        <f t="shared" ref="Y468:Y470" si="152">AB468</f>
        <v>98.333333333333329</v>
      </c>
      <c r="Z468" s="98">
        <f>AB468</f>
        <v>98.333333333333329</v>
      </c>
      <c r="AA468" s="99">
        <v>4130000</v>
      </c>
      <c r="AB468" s="98">
        <f t="shared" ref="AB468:AB470" si="153">AA468/K468*100</f>
        <v>98.333333333333329</v>
      </c>
      <c r="AC468" s="99">
        <f>AA468</f>
        <v>4130000</v>
      </c>
      <c r="AD468" s="98">
        <f t="shared" ref="AD468:AD470" si="154">AC468/K468*100</f>
        <v>98.333333333333329</v>
      </c>
    </row>
    <row r="469" spans="2:31">
      <c r="B469" s="13">
        <f>B468+1</f>
        <v>3</v>
      </c>
      <c r="C469" s="17" t="s">
        <v>208</v>
      </c>
      <c r="D469" s="39" t="s">
        <v>32</v>
      </c>
      <c r="E469" s="204"/>
      <c r="F469" s="204"/>
      <c r="G469" s="193"/>
      <c r="H469" s="89"/>
      <c r="I469" s="193"/>
      <c r="J469" s="15">
        <v>3600000</v>
      </c>
      <c r="K469" s="99">
        <v>3400000</v>
      </c>
      <c r="L469" s="13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9">
        <f t="shared" si="152"/>
        <v>100</v>
      </c>
      <c r="Z469" s="20">
        <f>AB469</f>
        <v>100</v>
      </c>
      <c r="AA469" s="99">
        <v>3400000</v>
      </c>
      <c r="AB469" s="98">
        <f t="shared" si="153"/>
        <v>100</v>
      </c>
      <c r="AC469" s="99">
        <f>AA469</f>
        <v>3400000</v>
      </c>
      <c r="AD469" s="98">
        <f t="shared" si="154"/>
        <v>100</v>
      </c>
    </row>
    <row r="470" spans="2:31">
      <c r="B470" s="45">
        <f>B469+1</f>
        <v>4</v>
      </c>
      <c r="C470" s="33" t="s">
        <v>209</v>
      </c>
      <c r="D470" s="306" t="s">
        <v>34</v>
      </c>
      <c r="E470" s="507"/>
      <c r="F470" s="489"/>
      <c r="G470" s="240"/>
      <c r="H470" s="186"/>
      <c r="I470" s="240"/>
      <c r="J470" s="15">
        <v>10000000</v>
      </c>
      <c r="K470" s="99">
        <v>9600000</v>
      </c>
      <c r="L470" s="45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19">
        <f t="shared" si="152"/>
        <v>98.125</v>
      </c>
      <c r="Z470" s="101">
        <f>AB470</f>
        <v>98.125</v>
      </c>
      <c r="AA470" s="102">
        <v>9420000</v>
      </c>
      <c r="AB470" s="98">
        <f t="shared" si="153"/>
        <v>98.125</v>
      </c>
      <c r="AC470" s="102">
        <f>AA470</f>
        <v>9420000</v>
      </c>
      <c r="AD470" s="98">
        <f t="shared" si="154"/>
        <v>98.125</v>
      </c>
    </row>
    <row r="471" spans="2:31" ht="18" customHeight="1">
      <c r="B471" s="91">
        <v>58</v>
      </c>
      <c r="C471" s="897" t="s">
        <v>1647</v>
      </c>
      <c r="D471" s="897"/>
      <c r="E471" s="508"/>
      <c r="F471" s="508">
        <v>4</v>
      </c>
      <c r="G471" s="499"/>
      <c r="H471" s="577"/>
      <c r="I471" s="499"/>
      <c r="J471" s="342">
        <f>SUM(J467:J470)</f>
        <v>57000000</v>
      </c>
      <c r="K471" s="342">
        <f>SUM(K467:K470)</f>
        <v>62005000</v>
      </c>
      <c r="L471" s="91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358">
        <f>SUM(Y467:Y470)/4</f>
        <v>97.573109725477067</v>
      </c>
      <c r="Z471" s="94">
        <f>SUM(Z467:Z470)/4</f>
        <v>97.573109725477067</v>
      </c>
      <c r="AA471" s="342">
        <f>SUM(AA467:AA470)</f>
        <v>58992371</v>
      </c>
      <c r="AB471" s="94">
        <f>SUM(AB467:AB470)/4</f>
        <v>97.573109725477067</v>
      </c>
      <c r="AC471" s="342">
        <f>SUM(AC467:AC470)</f>
        <v>58992371</v>
      </c>
      <c r="AD471" s="94">
        <f>SUM(AD467:AD470)/4</f>
        <v>97.573109725477067</v>
      </c>
    </row>
    <row r="472" spans="2:31">
      <c r="B472" s="62"/>
      <c r="C472" s="63" t="s">
        <v>1648</v>
      </c>
      <c r="D472" s="64" t="s">
        <v>1649</v>
      </c>
      <c r="E472" s="484"/>
      <c r="F472" s="484"/>
      <c r="G472" s="472"/>
      <c r="H472" s="242"/>
      <c r="I472" s="472"/>
      <c r="J472" s="65"/>
      <c r="K472" s="65"/>
      <c r="L472" s="66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2:31">
      <c r="B473" s="13">
        <v>1</v>
      </c>
      <c r="C473" s="17" t="s">
        <v>206</v>
      </c>
      <c r="D473" s="39" t="s">
        <v>28</v>
      </c>
      <c r="E473" s="204"/>
      <c r="F473" s="204"/>
      <c r="G473" s="193"/>
      <c r="H473" s="89"/>
      <c r="I473" s="193"/>
      <c r="J473" s="15">
        <v>37800000</v>
      </c>
      <c r="K473" s="99">
        <v>43630000</v>
      </c>
      <c r="L473" s="13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53">
        <f t="shared" ref="Y473:Y475" si="155">AB473</f>
        <v>93.891421040568417</v>
      </c>
      <c r="Z473" s="53">
        <f t="shared" ref="Z473:Z475" si="156">AD473</f>
        <v>93.891421040568417</v>
      </c>
      <c r="AA473" s="22">
        <v>40964827</v>
      </c>
      <c r="AB473" s="19">
        <f>AA473/K473*100</f>
        <v>93.891421040568417</v>
      </c>
      <c r="AC473" s="53">
        <f t="shared" ref="AC473:AC476" si="157">AA473</f>
        <v>40964827</v>
      </c>
      <c r="AD473" s="19">
        <f>AC473/K473*100</f>
        <v>93.891421040568417</v>
      </c>
    </row>
    <row r="474" spans="2:31">
      <c r="B474" s="13">
        <v>2</v>
      </c>
      <c r="C474" s="17" t="s">
        <v>207</v>
      </c>
      <c r="D474" s="39" t="s">
        <v>30</v>
      </c>
      <c r="E474" s="204"/>
      <c r="F474" s="204"/>
      <c r="G474" s="193"/>
      <c r="H474" s="89"/>
      <c r="I474" s="193"/>
      <c r="J474" s="15">
        <v>4000000</v>
      </c>
      <c r="K474" s="99">
        <v>4000000</v>
      </c>
      <c r="L474" s="13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53">
        <f t="shared" si="155"/>
        <v>100</v>
      </c>
      <c r="Z474" s="53">
        <f t="shared" si="156"/>
        <v>100</v>
      </c>
      <c r="AA474" s="22">
        <v>4000000</v>
      </c>
      <c r="AB474" s="19">
        <f t="shared" ref="AB474:AB476" si="158">AA474/K474*100</f>
        <v>100</v>
      </c>
      <c r="AC474" s="53">
        <f t="shared" si="157"/>
        <v>4000000</v>
      </c>
      <c r="AD474" s="19">
        <f t="shared" ref="AD474:AD476" si="159">AC474/K474*100</f>
        <v>100</v>
      </c>
    </row>
    <row r="475" spans="2:31">
      <c r="B475" s="13">
        <f>B474+1</f>
        <v>3</v>
      </c>
      <c r="C475" s="17" t="s">
        <v>208</v>
      </c>
      <c r="D475" s="39" t="s">
        <v>32</v>
      </c>
      <c r="E475" s="204"/>
      <c r="F475" s="204"/>
      <c r="G475" s="193"/>
      <c r="H475" s="89"/>
      <c r="I475" s="193"/>
      <c r="J475" s="15">
        <v>7200000</v>
      </c>
      <c r="K475" s="99">
        <v>7200000</v>
      </c>
      <c r="L475" s="13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53">
        <f t="shared" si="155"/>
        <v>100</v>
      </c>
      <c r="Z475" s="53">
        <f t="shared" si="156"/>
        <v>100</v>
      </c>
      <c r="AA475" s="22">
        <v>7200000</v>
      </c>
      <c r="AB475" s="19">
        <f t="shared" si="158"/>
        <v>100</v>
      </c>
      <c r="AC475" s="53">
        <f t="shared" si="157"/>
        <v>7200000</v>
      </c>
      <c r="AD475" s="19">
        <f t="shared" si="159"/>
        <v>100</v>
      </c>
    </row>
    <row r="476" spans="2:31">
      <c r="B476" s="13">
        <v>4</v>
      </c>
      <c r="C476" s="74" t="s">
        <v>205</v>
      </c>
      <c r="D476" s="74" t="s">
        <v>34</v>
      </c>
      <c r="E476" s="204"/>
      <c r="F476" s="204"/>
      <c r="G476" s="193"/>
      <c r="H476" s="89"/>
      <c r="I476" s="193"/>
      <c r="J476" s="15">
        <v>8000000</v>
      </c>
      <c r="K476" s="99">
        <v>8000000</v>
      </c>
      <c r="L476" s="13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53">
        <f t="shared" ref="Y476" si="160">AB476</f>
        <v>100</v>
      </c>
      <c r="Z476" s="53">
        <f t="shared" ref="Z476" si="161">AD476</f>
        <v>100</v>
      </c>
      <c r="AA476" s="22">
        <v>8000000</v>
      </c>
      <c r="AB476" s="19">
        <f t="shared" si="158"/>
        <v>100</v>
      </c>
      <c r="AC476" s="53">
        <f t="shared" si="157"/>
        <v>8000000</v>
      </c>
      <c r="AD476" s="19">
        <f t="shared" si="159"/>
        <v>100</v>
      </c>
    </row>
    <row r="477" spans="2:31">
      <c r="B477" s="341">
        <v>59</v>
      </c>
      <c r="C477" s="897" t="s">
        <v>1650</v>
      </c>
      <c r="D477" s="897"/>
      <c r="E477" s="508"/>
      <c r="F477" s="508">
        <v>4</v>
      </c>
      <c r="G477" s="499"/>
      <c r="H477" s="577"/>
      <c r="I477" s="499"/>
      <c r="J477" s="342">
        <f>SUM(J473:J476)</f>
        <v>57000000</v>
      </c>
      <c r="K477" s="342">
        <f>SUM(K473:K476)</f>
        <v>62830000</v>
      </c>
      <c r="L477" s="91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4">
        <f>SUM(Y473:Y476)/4</f>
        <v>98.472855260142097</v>
      </c>
      <c r="Z477" s="94">
        <f>SUM(Z473:Z476)/4</f>
        <v>98.472855260142097</v>
      </c>
      <c r="AA477" s="342">
        <f>SUM(AA473:AA476)</f>
        <v>60164827</v>
      </c>
      <c r="AB477" s="94">
        <f>SUM(AB473:AB476)/4</f>
        <v>98.472855260142097</v>
      </c>
      <c r="AC477" s="342">
        <f>SUM(AC473:AC476)</f>
        <v>60164827</v>
      </c>
      <c r="AD477" s="94">
        <f>SUM(AD473:AD476)/4</f>
        <v>98.472855260142097</v>
      </c>
    </row>
    <row r="478" spans="2:31">
      <c r="B478" s="66"/>
      <c r="C478" s="63" t="s">
        <v>1651</v>
      </c>
      <c r="D478" s="64" t="s">
        <v>1652</v>
      </c>
      <c r="E478" s="484"/>
      <c r="F478" s="484"/>
      <c r="G478" s="472"/>
      <c r="H478" s="242"/>
      <c r="I478" s="472"/>
      <c r="J478" s="65"/>
      <c r="K478" s="65"/>
      <c r="L478" s="66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2:31">
      <c r="B479" s="48">
        <v>1</v>
      </c>
      <c r="C479" s="74" t="s">
        <v>203</v>
      </c>
      <c r="D479" s="74" t="s">
        <v>28</v>
      </c>
      <c r="E479" s="204"/>
      <c r="F479" s="204"/>
      <c r="G479" s="193"/>
      <c r="H479" s="89"/>
      <c r="I479" s="193"/>
      <c r="J479" s="15">
        <v>43720000</v>
      </c>
      <c r="K479" s="99">
        <v>45811000</v>
      </c>
      <c r="L479" s="13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14">
        <f>AB479</f>
        <v>65.625330160878391</v>
      </c>
      <c r="Z479" s="114">
        <f>AD479</f>
        <v>65.625330160878391</v>
      </c>
      <c r="AA479" s="25">
        <v>30063620</v>
      </c>
      <c r="AB479" s="98">
        <f>AA479/K479*100</f>
        <v>65.625330160878391</v>
      </c>
      <c r="AC479" s="25">
        <f>AA479</f>
        <v>30063620</v>
      </c>
      <c r="AD479" s="98">
        <f>AC479/K479*100</f>
        <v>65.625330160878391</v>
      </c>
    </row>
    <row r="480" spans="2:31">
      <c r="B480" s="13">
        <v>2</v>
      </c>
      <c r="C480" s="74" t="s">
        <v>210</v>
      </c>
      <c r="D480" s="74" t="s">
        <v>30</v>
      </c>
      <c r="E480" s="204"/>
      <c r="F480" s="204"/>
      <c r="G480" s="193"/>
      <c r="H480" s="89"/>
      <c r="I480" s="193"/>
      <c r="J480" s="15">
        <v>2280000</v>
      </c>
      <c r="K480" s="99">
        <v>2280000</v>
      </c>
      <c r="L480" s="13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14">
        <f t="shared" ref="Y480:Y481" si="162">AB480</f>
        <v>100</v>
      </c>
      <c r="Z480" s="114">
        <f t="shared" ref="Z480:Z481" si="163">AD480</f>
        <v>100</v>
      </c>
      <c r="AA480" s="25">
        <v>2280000</v>
      </c>
      <c r="AB480" s="98">
        <f t="shared" ref="AB480:AB481" si="164">AA480/K480*100</f>
        <v>100</v>
      </c>
      <c r="AC480" s="25">
        <f>AA480</f>
        <v>2280000</v>
      </c>
      <c r="AD480" s="98">
        <f t="shared" ref="AD480:AD481" si="165">AC480/K480*100</f>
        <v>100</v>
      </c>
    </row>
    <row r="481" spans="1:31">
      <c r="B481" s="45">
        <v>3</v>
      </c>
      <c r="C481" s="93" t="s">
        <v>205</v>
      </c>
      <c r="D481" s="93" t="s">
        <v>34</v>
      </c>
      <c r="E481" s="489"/>
      <c r="F481" s="489"/>
      <c r="G481" s="240"/>
      <c r="H481" s="186"/>
      <c r="I481" s="240"/>
      <c r="J481" s="15">
        <v>11000000</v>
      </c>
      <c r="K481" s="99">
        <v>13914000</v>
      </c>
      <c r="L481" s="45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114">
        <f t="shared" si="162"/>
        <v>100</v>
      </c>
      <c r="Z481" s="114">
        <f t="shared" si="163"/>
        <v>100</v>
      </c>
      <c r="AA481" s="73">
        <v>13914000</v>
      </c>
      <c r="AB481" s="98">
        <f t="shared" si="164"/>
        <v>100</v>
      </c>
      <c r="AC481" s="366">
        <f>AA481</f>
        <v>13914000</v>
      </c>
      <c r="AD481" s="98">
        <f t="shared" si="165"/>
        <v>100</v>
      </c>
    </row>
    <row r="482" spans="1:31">
      <c r="B482" s="341">
        <v>60</v>
      </c>
      <c r="C482" s="897" t="s">
        <v>1653</v>
      </c>
      <c r="D482" s="897"/>
      <c r="E482" s="508"/>
      <c r="F482" s="508">
        <v>3</v>
      </c>
      <c r="G482" s="499"/>
      <c r="H482" s="577"/>
      <c r="I482" s="499"/>
      <c r="J482" s="342">
        <f>SUM(J479:J481)</f>
        <v>57000000</v>
      </c>
      <c r="K482" s="342">
        <f>SUM(K479:K481)</f>
        <v>62005000</v>
      </c>
      <c r="L482" s="91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4">
        <f>SUM(Y479:Y481)/3</f>
        <v>88.541776720292788</v>
      </c>
      <c r="Z482" s="94">
        <f>SUM(Z479:Z481)/3</f>
        <v>88.541776720292788</v>
      </c>
      <c r="AA482" s="342">
        <f>SUM(AA479:AA481)</f>
        <v>46257620</v>
      </c>
      <c r="AB482" s="94">
        <f>SUM(AB479:AB481)/3</f>
        <v>88.541776720292788</v>
      </c>
      <c r="AC482" s="342">
        <f>SUM(AC479:AC481)</f>
        <v>46257620</v>
      </c>
      <c r="AD482" s="94">
        <f>SUM(AD479:AD481)/3</f>
        <v>88.541776720292788</v>
      </c>
    </row>
    <row r="483" spans="1:31">
      <c r="B483" s="62"/>
      <c r="C483" s="63" t="s">
        <v>1654</v>
      </c>
      <c r="D483" s="64" t="s">
        <v>1655</v>
      </c>
      <c r="E483" s="484"/>
      <c r="F483" s="484"/>
      <c r="G483" s="472"/>
      <c r="H483" s="242"/>
      <c r="I483" s="472"/>
      <c r="J483" s="65"/>
      <c r="K483" s="65"/>
      <c r="L483" s="66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1">
      <c r="B484" s="13">
        <v>1</v>
      </c>
      <c r="C484" s="17" t="s">
        <v>206</v>
      </c>
      <c r="D484" s="39" t="s">
        <v>28</v>
      </c>
      <c r="E484" s="204"/>
      <c r="F484" s="204"/>
      <c r="G484" s="193"/>
      <c r="H484" s="89"/>
      <c r="I484" s="193"/>
      <c r="J484" s="15">
        <v>37831000</v>
      </c>
      <c r="K484" s="99">
        <v>40505000</v>
      </c>
      <c r="L484" s="13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53">
        <f>AB484</f>
        <v>84.235378348352057</v>
      </c>
      <c r="Z484" s="53">
        <f>AD484</f>
        <v>84.235378348352057</v>
      </c>
      <c r="AA484" s="83">
        <v>34119540</v>
      </c>
      <c r="AB484" s="19">
        <f>AA484/K484*100</f>
        <v>84.235378348352057</v>
      </c>
      <c r="AC484" s="83">
        <f>AA484</f>
        <v>34119540</v>
      </c>
      <c r="AD484" s="19">
        <f>AC484/K484*100</f>
        <v>84.235378348352057</v>
      </c>
    </row>
    <row r="485" spans="1:31">
      <c r="B485" s="13">
        <v>2</v>
      </c>
      <c r="C485" s="17" t="s">
        <v>207</v>
      </c>
      <c r="D485" s="39" t="s">
        <v>30</v>
      </c>
      <c r="E485" s="204"/>
      <c r="F485" s="204"/>
      <c r="G485" s="193"/>
      <c r="H485" s="89"/>
      <c r="I485" s="193"/>
      <c r="J485" s="15">
        <v>3000000</v>
      </c>
      <c r="K485" s="99">
        <v>3520000</v>
      </c>
      <c r="L485" s="13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53">
        <f>AB485</f>
        <v>100</v>
      </c>
      <c r="Z485" s="53">
        <f>AD485</f>
        <v>100</v>
      </c>
      <c r="AA485" s="83">
        <v>3520000</v>
      </c>
      <c r="AB485" s="19">
        <f t="shared" ref="AB485:AB487" si="166">AA485/K485*100</f>
        <v>100</v>
      </c>
      <c r="AC485" s="83">
        <f>AA485</f>
        <v>3520000</v>
      </c>
      <c r="AD485" s="19">
        <f t="shared" ref="AD485:AD487" si="167">AC485/K485*100</f>
        <v>100</v>
      </c>
    </row>
    <row r="486" spans="1:31">
      <c r="B486" s="13">
        <f>B485+1</f>
        <v>3</v>
      </c>
      <c r="C486" s="17" t="s">
        <v>208</v>
      </c>
      <c r="D486" s="39" t="s">
        <v>32</v>
      </c>
      <c r="E486" s="204"/>
      <c r="F486" s="204"/>
      <c r="G486" s="193"/>
      <c r="H486" s="89"/>
      <c r="I486" s="193"/>
      <c r="J486" s="15">
        <v>7500000</v>
      </c>
      <c r="K486" s="99">
        <v>7500000</v>
      </c>
      <c r="L486" s="13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53">
        <f>AB486</f>
        <v>100</v>
      </c>
      <c r="Z486" s="53">
        <f>AD486</f>
        <v>100</v>
      </c>
      <c r="AA486" s="83">
        <v>7500000</v>
      </c>
      <c r="AB486" s="19">
        <f t="shared" si="166"/>
        <v>100</v>
      </c>
      <c r="AC486" s="83">
        <f>AA486</f>
        <v>7500000</v>
      </c>
      <c r="AD486" s="19">
        <f t="shared" si="167"/>
        <v>100</v>
      </c>
    </row>
    <row r="487" spans="1:31">
      <c r="B487" s="45">
        <f>B486+1</f>
        <v>4</v>
      </c>
      <c r="C487" s="44" t="s">
        <v>209</v>
      </c>
      <c r="D487" s="78" t="s">
        <v>34</v>
      </c>
      <c r="E487" s="489"/>
      <c r="F487" s="489"/>
      <c r="G487" s="240"/>
      <c r="H487" s="186"/>
      <c r="I487" s="240"/>
      <c r="J487" s="15">
        <v>8669000</v>
      </c>
      <c r="K487" s="99">
        <v>11000000</v>
      </c>
      <c r="L487" s="45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55">
        <f>AB487</f>
        <v>100</v>
      </c>
      <c r="Z487" s="55">
        <f>AD487</f>
        <v>100</v>
      </c>
      <c r="AA487" s="375">
        <v>11000000</v>
      </c>
      <c r="AB487" s="19">
        <f t="shared" si="166"/>
        <v>100</v>
      </c>
      <c r="AC487" s="375">
        <f>AA487</f>
        <v>11000000</v>
      </c>
      <c r="AD487" s="19">
        <f t="shared" si="167"/>
        <v>100</v>
      </c>
    </row>
    <row r="488" spans="1:31">
      <c r="B488" s="360">
        <v>61</v>
      </c>
      <c r="C488" s="897" t="s">
        <v>1656</v>
      </c>
      <c r="D488" s="897"/>
      <c r="E488" s="508"/>
      <c r="F488" s="508">
        <v>4</v>
      </c>
      <c r="G488" s="499"/>
      <c r="H488" s="577"/>
      <c r="I488" s="499"/>
      <c r="J488" s="342">
        <f>SUM(J484:J487)</f>
        <v>57000000</v>
      </c>
      <c r="K488" s="342">
        <f>SUM(K484:K487)</f>
        <v>62525000</v>
      </c>
      <c r="L488" s="353"/>
      <c r="M488" s="354"/>
      <c r="N488" s="354"/>
      <c r="O488" s="354"/>
      <c r="P488" s="354"/>
      <c r="Q488" s="354"/>
      <c r="R488" s="354"/>
      <c r="S488" s="354"/>
      <c r="T488" s="354"/>
      <c r="U488" s="354"/>
      <c r="V488" s="354"/>
      <c r="W488" s="354"/>
      <c r="X488" s="354"/>
      <c r="Y488" s="358">
        <f>SUM(Y484:Y487)/4</f>
        <v>96.058844587088018</v>
      </c>
      <c r="Z488" s="358">
        <f>SUM(Z484:Z487)/4</f>
        <v>96.058844587088018</v>
      </c>
      <c r="AA488" s="841">
        <f>SUM(AA484:AA487)</f>
        <v>56139540</v>
      </c>
      <c r="AB488" s="358">
        <f>SUM(AB484:AB487)/4</f>
        <v>96.058844587088018</v>
      </c>
      <c r="AC488" s="358">
        <f>SUM(AC484:AC487)</f>
        <v>56139540</v>
      </c>
      <c r="AD488" s="358">
        <f>SUM(AD484:AD487)/4</f>
        <v>96.058844587088018</v>
      </c>
    </row>
    <row r="489" spans="1:31" s="69" customFormat="1">
      <c r="A489" s="1"/>
      <c r="B489" s="13"/>
      <c r="C489" s="17" t="s">
        <v>1657</v>
      </c>
      <c r="D489" s="70" t="s">
        <v>1658</v>
      </c>
      <c r="E489" s="204"/>
      <c r="F489" s="204"/>
      <c r="G489" s="193"/>
      <c r="H489" s="89"/>
      <c r="I489" s="193"/>
      <c r="J489" s="25"/>
      <c r="K489" s="25"/>
      <c r="L489" s="13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2"/>
    </row>
    <row r="490" spans="1:31">
      <c r="B490" s="13">
        <v>1</v>
      </c>
      <c r="C490" s="17" t="s">
        <v>206</v>
      </c>
      <c r="D490" s="39" t="s">
        <v>28</v>
      </c>
      <c r="E490" s="204"/>
      <c r="F490" s="204"/>
      <c r="G490" s="193"/>
      <c r="H490" s="89"/>
      <c r="I490" s="193"/>
      <c r="J490" s="15">
        <v>37995000</v>
      </c>
      <c r="K490" s="99">
        <v>43425000</v>
      </c>
      <c r="L490" s="13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53">
        <f>AB490</f>
        <v>95.267633851468048</v>
      </c>
      <c r="Z490" s="53">
        <f>AD490</f>
        <v>95.267633851468048</v>
      </c>
      <c r="AA490" s="22">
        <v>41369970</v>
      </c>
      <c r="AB490" s="19">
        <f>AA490/K490*100</f>
        <v>95.267633851468048</v>
      </c>
      <c r="AC490" s="22">
        <f>AA490</f>
        <v>41369970</v>
      </c>
      <c r="AD490" s="19">
        <f>AC490/K490*100</f>
        <v>95.267633851468048</v>
      </c>
    </row>
    <row r="491" spans="1:31">
      <c r="B491" s="13">
        <f>B490+1</f>
        <v>2</v>
      </c>
      <c r="C491" s="17" t="s">
        <v>207</v>
      </c>
      <c r="D491" s="39" t="s">
        <v>30</v>
      </c>
      <c r="E491" s="204"/>
      <c r="F491" s="204"/>
      <c r="G491" s="193"/>
      <c r="H491" s="89"/>
      <c r="I491" s="193"/>
      <c r="J491" s="15">
        <v>3200000</v>
      </c>
      <c r="K491" s="99">
        <v>3600000</v>
      </c>
      <c r="L491" s="13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53">
        <f>AB491</f>
        <v>91.111111111111114</v>
      </c>
      <c r="Z491" s="53">
        <f>AD491</f>
        <v>91.111111111111114</v>
      </c>
      <c r="AA491" s="22">
        <v>3280000</v>
      </c>
      <c r="AB491" s="19">
        <f t="shared" ref="AB491:AB493" si="168">AA491/K491*100</f>
        <v>91.111111111111114</v>
      </c>
      <c r="AC491" s="22">
        <f>AA491</f>
        <v>3280000</v>
      </c>
      <c r="AD491" s="19">
        <f t="shared" ref="AD491:AD493" si="169">AC491/K491*100</f>
        <v>91.111111111111114</v>
      </c>
    </row>
    <row r="492" spans="1:31">
      <c r="B492" s="13">
        <f>B491+1</f>
        <v>3</v>
      </c>
      <c r="C492" s="17" t="s">
        <v>208</v>
      </c>
      <c r="D492" s="39" t="s">
        <v>32</v>
      </c>
      <c r="E492" s="204"/>
      <c r="F492" s="204"/>
      <c r="G492" s="193"/>
      <c r="H492" s="89"/>
      <c r="I492" s="193"/>
      <c r="J492" s="15">
        <v>5005000</v>
      </c>
      <c r="K492" s="99">
        <v>5005000</v>
      </c>
      <c r="L492" s="13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53">
        <f>AB492</f>
        <v>73.066933066933075</v>
      </c>
      <c r="Z492" s="53">
        <f>AD492</f>
        <v>73.066933066933075</v>
      </c>
      <c r="AA492" s="22">
        <v>3657000</v>
      </c>
      <c r="AB492" s="19">
        <f t="shared" si="168"/>
        <v>73.066933066933075</v>
      </c>
      <c r="AC492" s="22">
        <f>AA492</f>
        <v>3657000</v>
      </c>
      <c r="AD492" s="19">
        <f t="shared" si="169"/>
        <v>73.066933066933075</v>
      </c>
    </row>
    <row r="493" spans="1:31">
      <c r="B493" s="45">
        <f>B492+1</f>
        <v>4</v>
      </c>
      <c r="C493" s="44" t="s">
        <v>209</v>
      </c>
      <c r="D493" s="78" t="s">
        <v>34</v>
      </c>
      <c r="E493" s="489"/>
      <c r="F493" s="489"/>
      <c r="G493" s="240"/>
      <c r="H493" s="186"/>
      <c r="I493" s="240"/>
      <c r="J493" s="15">
        <v>10800000</v>
      </c>
      <c r="K493" s="99">
        <v>10800000</v>
      </c>
      <c r="L493" s="45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55">
        <f>AB493</f>
        <v>100</v>
      </c>
      <c r="Z493" s="55">
        <f>AD493</f>
        <v>100</v>
      </c>
      <c r="AA493" s="73">
        <v>10800000</v>
      </c>
      <c r="AB493" s="19">
        <f t="shared" si="168"/>
        <v>100</v>
      </c>
      <c r="AC493" s="73">
        <f>AA493</f>
        <v>10800000</v>
      </c>
      <c r="AD493" s="19">
        <f t="shared" si="169"/>
        <v>100</v>
      </c>
    </row>
    <row r="494" spans="1:31">
      <c r="B494" s="341">
        <v>62</v>
      </c>
      <c r="C494" s="897" t="s">
        <v>1659</v>
      </c>
      <c r="D494" s="897"/>
      <c r="E494" s="508"/>
      <c r="F494" s="508">
        <v>4</v>
      </c>
      <c r="G494" s="499"/>
      <c r="H494" s="577"/>
      <c r="I494" s="499"/>
      <c r="J494" s="342">
        <f>SUM(J490:J493)</f>
        <v>57000000</v>
      </c>
      <c r="K494" s="342">
        <f>SUM(K490:K493)</f>
        <v>62830000</v>
      </c>
      <c r="L494" s="91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358">
        <f>SUM(Y490:Y493)/4</f>
        <v>89.861419507378059</v>
      </c>
      <c r="Z494" s="358">
        <f>SUM(Z490:Z493)/4</f>
        <v>89.861419507378059</v>
      </c>
      <c r="AA494" s="363">
        <f>SUM(AA490:AA493)</f>
        <v>59106970</v>
      </c>
      <c r="AB494" s="358">
        <f>SUM(AB490:AB493)/4</f>
        <v>89.861419507378059</v>
      </c>
      <c r="AC494" s="363">
        <f>SUM(AC490:AC493)</f>
        <v>59106970</v>
      </c>
      <c r="AD494" s="358">
        <f>SUM(AD490:AD493)/4</f>
        <v>89.861419507378059</v>
      </c>
    </row>
    <row r="495" spans="1:31">
      <c r="B495" s="66"/>
      <c r="C495" s="63" t="s">
        <v>1660</v>
      </c>
      <c r="D495" s="64" t="s">
        <v>1661</v>
      </c>
      <c r="E495" s="484"/>
      <c r="F495" s="484"/>
      <c r="G495" s="472"/>
      <c r="H495" s="242"/>
      <c r="I495" s="472"/>
      <c r="J495" s="65"/>
      <c r="K495" s="65"/>
      <c r="L495" s="66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1">
      <c r="B496" s="13">
        <v>1</v>
      </c>
      <c r="C496" s="74" t="s">
        <v>203</v>
      </c>
      <c r="D496" s="74" t="s">
        <v>28</v>
      </c>
      <c r="E496" s="204"/>
      <c r="F496" s="204"/>
      <c r="G496" s="193"/>
      <c r="H496" s="89"/>
      <c r="I496" s="193"/>
      <c r="J496" s="15">
        <v>39700000</v>
      </c>
      <c r="K496" s="99">
        <v>46041000</v>
      </c>
      <c r="L496" s="13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53">
        <f>AB496</f>
        <v>89.482960839251973</v>
      </c>
      <c r="Z496" s="53">
        <f>AD496</f>
        <v>89.482960839251973</v>
      </c>
      <c r="AA496" s="22">
        <v>41198850</v>
      </c>
      <c r="AB496" s="19">
        <f>AA496/K496*100</f>
        <v>89.482960839251973</v>
      </c>
      <c r="AC496" s="22">
        <f>AA496</f>
        <v>41198850</v>
      </c>
      <c r="AD496" s="19">
        <f>AC496/K496*100</f>
        <v>89.482960839251973</v>
      </c>
    </row>
    <row r="497" spans="2:31">
      <c r="B497" s="13">
        <f>B496+1</f>
        <v>2</v>
      </c>
      <c r="C497" s="74" t="s">
        <v>210</v>
      </c>
      <c r="D497" s="74" t="s">
        <v>30</v>
      </c>
      <c r="E497" s="204"/>
      <c r="F497" s="204"/>
      <c r="G497" s="193"/>
      <c r="H497" s="89"/>
      <c r="I497" s="193"/>
      <c r="J497" s="15">
        <v>4000000</v>
      </c>
      <c r="K497" s="99">
        <v>4000000</v>
      </c>
      <c r="L497" s="13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53">
        <f>AB497</f>
        <v>100</v>
      </c>
      <c r="Z497" s="53">
        <f>AD497</f>
        <v>100</v>
      </c>
      <c r="AA497" s="22">
        <f>2000000+1200000+800000</f>
        <v>4000000</v>
      </c>
      <c r="AB497" s="19">
        <f t="shared" ref="AB497:AB499" si="170">AA497/K497*100</f>
        <v>100</v>
      </c>
      <c r="AC497" s="22">
        <f>AA497</f>
        <v>4000000</v>
      </c>
      <c r="AD497" s="19">
        <f t="shared" ref="AD497:AD499" si="171">AC497/K497*100</f>
        <v>100</v>
      </c>
    </row>
    <row r="498" spans="2:31">
      <c r="B498" s="13">
        <f>B497+1</f>
        <v>3</v>
      </c>
      <c r="C498" s="74" t="s">
        <v>204</v>
      </c>
      <c r="D498" s="74" t="s">
        <v>32</v>
      </c>
      <c r="E498" s="204"/>
      <c r="F498" s="204"/>
      <c r="G498" s="193"/>
      <c r="H498" s="89"/>
      <c r="I498" s="193"/>
      <c r="J498" s="15">
        <v>5300000</v>
      </c>
      <c r="K498" s="99">
        <v>5789000</v>
      </c>
      <c r="L498" s="13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53">
        <f>AB498</f>
        <v>99.982725859388495</v>
      </c>
      <c r="Z498" s="53">
        <f>AD498</f>
        <v>99.982725859388495</v>
      </c>
      <c r="AA498" s="22">
        <f>3000000+2788000</f>
        <v>5788000</v>
      </c>
      <c r="AB498" s="19">
        <f t="shared" si="170"/>
        <v>99.982725859388495</v>
      </c>
      <c r="AC498" s="22">
        <f>AA498</f>
        <v>5788000</v>
      </c>
      <c r="AD498" s="19">
        <f t="shared" si="171"/>
        <v>99.982725859388495</v>
      </c>
    </row>
    <row r="499" spans="2:31">
      <c r="B499" s="45">
        <f>B498+1</f>
        <v>4</v>
      </c>
      <c r="C499" s="93" t="s">
        <v>205</v>
      </c>
      <c r="D499" s="93" t="s">
        <v>34</v>
      </c>
      <c r="E499" s="489"/>
      <c r="F499" s="489"/>
      <c r="G499" s="240"/>
      <c r="H499" s="186"/>
      <c r="I499" s="240"/>
      <c r="J499" s="15">
        <v>8000000</v>
      </c>
      <c r="K499" s="99">
        <v>7000000</v>
      </c>
      <c r="L499" s="45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55">
        <f>AB499</f>
        <v>100</v>
      </c>
      <c r="Z499" s="55">
        <f>AD499</f>
        <v>100</v>
      </c>
      <c r="AA499" s="73">
        <v>7000000</v>
      </c>
      <c r="AB499" s="19">
        <f t="shared" si="170"/>
        <v>100</v>
      </c>
      <c r="AC499" s="73">
        <f>AA499</f>
        <v>7000000</v>
      </c>
      <c r="AD499" s="19">
        <f t="shared" si="171"/>
        <v>100</v>
      </c>
    </row>
    <row r="500" spans="2:31" ht="20.25" customHeight="1">
      <c r="B500" s="773">
        <v>63</v>
      </c>
      <c r="C500" s="899" t="s">
        <v>1662</v>
      </c>
      <c r="D500" s="899"/>
      <c r="E500" s="774"/>
      <c r="F500" s="774">
        <v>4</v>
      </c>
      <c r="G500" s="775"/>
      <c r="H500" s="776"/>
      <c r="I500" s="775"/>
      <c r="J500" s="777">
        <f>SUM(J496:J499)</f>
        <v>57000000</v>
      </c>
      <c r="K500" s="777">
        <f>SUM(K496:K499)</f>
        <v>62830000</v>
      </c>
      <c r="L500" s="778"/>
      <c r="M500" s="779"/>
      <c r="N500" s="779"/>
      <c r="O500" s="779"/>
      <c r="P500" s="779"/>
      <c r="Q500" s="779"/>
      <c r="R500" s="779"/>
      <c r="S500" s="779"/>
      <c r="T500" s="779"/>
      <c r="U500" s="779"/>
      <c r="V500" s="779"/>
      <c r="W500" s="779"/>
      <c r="X500" s="779"/>
      <c r="Y500" s="780">
        <f>SUM(Y496:Y499)/4</f>
        <v>97.366421674660117</v>
      </c>
      <c r="Z500" s="780">
        <f>SUM(Z496:Z499)/4</f>
        <v>97.366421674660117</v>
      </c>
      <c r="AA500" s="777">
        <f>SUM(AA496:AA499)</f>
        <v>57986850</v>
      </c>
      <c r="AB500" s="780">
        <f>SUM(AB496:AB499)/4</f>
        <v>97.366421674660117</v>
      </c>
      <c r="AC500" s="777">
        <f>SUM(AC496:AC499)</f>
        <v>57986850</v>
      </c>
      <c r="AD500" s="780">
        <f>SUM(AD496:AD499)/4</f>
        <v>97.366421674660117</v>
      </c>
    </row>
    <row r="501" spans="2:31">
      <c r="B501" s="62"/>
      <c r="C501" s="63" t="s">
        <v>1663</v>
      </c>
      <c r="D501" s="64" t="s">
        <v>1664</v>
      </c>
      <c r="E501" s="484"/>
      <c r="F501" s="484"/>
      <c r="G501" s="472"/>
      <c r="H501" s="242"/>
      <c r="I501" s="472"/>
      <c r="J501" s="65"/>
      <c r="K501" s="65"/>
      <c r="L501" s="66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9"/>
    </row>
    <row r="502" spans="2:31">
      <c r="B502" s="13">
        <v>1</v>
      </c>
      <c r="C502" s="74" t="s">
        <v>203</v>
      </c>
      <c r="D502" s="74" t="s">
        <v>28</v>
      </c>
      <c r="E502" s="204"/>
      <c r="F502" s="204"/>
      <c r="G502" s="193"/>
      <c r="H502" s="89"/>
      <c r="I502" s="193"/>
      <c r="J502" s="15">
        <v>43000000</v>
      </c>
      <c r="K502" s="99">
        <v>44541000</v>
      </c>
      <c r="L502" s="13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53">
        <v>100</v>
      </c>
      <c r="Z502" s="53">
        <v>100</v>
      </c>
      <c r="AA502" s="22">
        <v>42695165</v>
      </c>
      <c r="AB502" s="19">
        <f>AA502/K502*100</f>
        <v>95.855874362946508</v>
      </c>
      <c r="AC502" s="22">
        <f>AA502</f>
        <v>42695165</v>
      </c>
      <c r="AD502" s="19">
        <f>AC502/K502*100</f>
        <v>95.855874362946508</v>
      </c>
    </row>
    <row r="503" spans="2:31">
      <c r="B503" s="13">
        <v>2</v>
      </c>
      <c r="C503" s="74" t="s">
        <v>210</v>
      </c>
      <c r="D503" s="74" t="s">
        <v>30</v>
      </c>
      <c r="E503" s="204"/>
      <c r="F503" s="204"/>
      <c r="G503" s="193"/>
      <c r="H503" s="89"/>
      <c r="I503" s="193"/>
      <c r="J503" s="15">
        <v>3000000</v>
      </c>
      <c r="K503" s="99">
        <v>3000000</v>
      </c>
      <c r="L503" s="13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53">
        <f>AB503</f>
        <v>100</v>
      </c>
      <c r="Z503" s="53">
        <f>AD503</f>
        <v>100</v>
      </c>
      <c r="AA503" s="22">
        <v>3000000</v>
      </c>
      <c r="AB503" s="19">
        <f t="shared" ref="AB503:AB506" si="172">AA503/K503*100</f>
        <v>100</v>
      </c>
      <c r="AC503" s="22">
        <f>AA503</f>
        <v>3000000</v>
      </c>
      <c r="AD503" s="19">
        <f t="shared" ref="AD503:AD506" si="173">AC503/K503*100</f>
        <v>100</v>
      </c>
    </row>
    <row r="504" spans="2:31">
      <c r="B504" s="13">
        <v>3</v>
      </c>
      <c r="C504" s="74" t="s">
        <v>204</v>
      </c>
      <c r="D504" s="74" t="s">
        <v>32</v>
      </c>
      <c r="E504" s="204"/>
      <c r="F504" s="204"/>
      <c r="G504" s="193"/>
      <c r="H504" s="89"/>
      <c r="I504" s="193"/>
      <c r="J504" s="15">
        <v>6500000</v>
      </c>
      <c r="K504" s="99">
        <v>9704000</v>
      </c>
      <c r="L504" s="13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53">
        <f>AB504</f>
        <v>100</v>
      </c>
      <c r="Z504" s="53">
        <f>AD504</f>
        <v>100</v>
      </c>
      <c r="AA504" s="22">
        <v>9704000</v>
      </c>
      <c r="AB504" s="19">
        <f t="shared" si="172"/>
        <v>100</v>
      </c>
      <c r="AC504" s="22">
        <f>AA504</f>
        <v>9704000</v>
      </c>
      <c r="AD504" s="19">
        <f t="shared" si="173"/>
        <v>100</v>
      </c>
    </row>
    <row r="505" spans="2:31">
      <c r="B505" s="13">
        <v>4</v>
      </c>
      <c r="C505" s="74" t="s">
        <v>205</v>
      </c>
      <c r="D505" s="74" t="s">
        <v>34</v>
      </c>
      <c r="E505" s="204"/>
      <c r="F505" s="204"/>
      <c r="G505" s="193"/>
      <c r="H505" s="89"/>
      <c r="I505" s="193"/>
      <c r="J505" s="15">
        <v>4500000</v>
      </c>
      <c r="K505" s="99">
        <v>6135000</v>
      </c>
      <c r="L505" s="13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53">
        <f>AB505</f>
        <v>100</v>
      </c>
      <c r="Z505" s="53">
        <f>AD505</f>
        <v>100</v>
      </c>
      <c r="AA505" s="22">
        <v>6135000</v>
      </c>
      <c r="AB505" s="19">
        <f t="shared" si="172"/>
        <v>100</v>
      </c>
      <c r="AC505" s="22">
        <f>AA505</f>
        <v>6135000</v>
      </c>
      <c r="AD505" s="19">
        <f t="shared" si="173"/>
        <v>100</v>
      </c>
    </row>
    <row r="506" spans="2:31" ht="25.5">
      <c r="B506" s="367">
        <v>5</v>
      </c>
      <c r="C506" s="735" t="s">
        <v>400</v>
      </c>
      <c r="D506" s="21" t="s">
        <v>1631</v>
      </c>
      <c r="E506" s="489"/>
      <c r="F506" s="489"/>
      <c r="G506" s="240"/>
      <c r="H506" s="186"/>
      <c r="I506" s="240"/>
      <c r="J506" s="15">
        <v>10000000</v>
      </c>
      <c r="K506" s="99">
        <v>10000000</v>
      </c>
      <c r="L506" s="45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55">
        <f>AB506</f>
        <v>100</v>
      </c>
      <c r="Z506" s="55">
        <f>AD506</f>
        <v>100</v>
      </c>
      <c r="AA506" s="73">
        <v>10000000</v>
      </c>
      <c r="AB506" s="19">
        <f t="shared" si="172"/>
        <v>100</v>
      </c>
      <c r="AC506" s="73">
        <f>AA506</f>
        <v>10000000</v>
      </c>
      <c r="AD506" s="19">
        <f t="shared" si="173"/>
        <v>100</v>
      </c>
    </row>
    <row r="507" spans="2:31" ht="21" customHeight="1">
      <c r="B507" s="360">
        <v>64</v>
      </c>
      <c r="C507" s="897" t="s">
        <v>1665</v>
      </c>
      <c r="D507" s="897"/>
      <c r="E507" s="508"/>
      <c r="F507" s="508">
        <v>5</v>
      </c>
      <c r="G507" s="499"/>
      <c r="H507" s="577"/>
      <c r="I507" s="499"/>
      <c r="J507" s="342">
        <f>SUM(J502:J506)</f>
        <v>67000000</v>
      </c>
      <c r="K507" s="342">
        <f>SUM(K502:K506)</f>
        <v>73380000</v>
      </c>
      <c r="L507" s="91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342">
        <f>SUM(Y502:Y506)/5</f>
        <v>100</v>
      </c>
      <c r="Z507" s="342">
        <f>SUM(Z502:Z506)/5</f>
        <v>100</v>
      </c>
      <c r="AA507" s="342">
        <f>SUM(AA502:AA506)</f>
        <v>71534165</v>
      </c>
      <c r="AB507" s="94">
        <f>SUM(AB502:AB506)/5</f>
        <v>99.171174872589305</v>
      </c>
      <c r="AC507" s="342">
        <f>SUM(AC502:AC506)</f>
        <v>71534165</v>
      </c>
      <c r="AD507" s="94">
        <f>SUM(AD502:AD506)/5</f>
        <v>99.171174872589305</v>
      </c>
    </row>
    <row r="508" spans="2:31">
      <c r="B508" s="309"/>
      <c r="C508" s="63" t="s">
        <v>1666</v>
      </c>
      <c r="D508" s="64" t="s">
        <v>1667</v>
      </c>
      <c r="E508" s="484"/>
      <c r="F508" s="484"/>
      <c r="G508" s="472"/>
      <c r="H508" s="242"/>
      <c r="I508" s="472"/>
      <c r="J508" s="65"/>
      <c r="K508" s="65"/>
      <c r="L508" s="66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2:31">
      <c r="B509" s="13">
        <v>1</v>
      </c>
      <c r="C509" s="17" t="s">
        <v>206</v>
      </c>
      <c r="D509" s="39" t="s">
        <v>28</v>
      </c>
      <c r="E509" s="204"/>
      <c r="F509" s="204"/>
      <c r="G509" s="193"/>
      <c r="H509" s="89"/>
      <c r="I509" s="193"/>
      <c r="J509" s="15">
        <v>35070000</v>
      </c>
      <c r="K509" s="99">
        <v>41155000</v>
      </c>
      <c r="L509" s="13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53">
        <f>AB509</f>
        <v>98.191004738184901</v>
      </c>
      <c r="Z509" s="53">
        <f>AD509</f>
        <v>98.191004738184901</v>
      </c>
      <c r="AA509" s="22">
        <v>40410508</v>
      </c>
      <c r="AB509" s="19">
        <f>AA509/K509*100</f>
        <v>98.191004738184901</v>
      </c>
      <c r="AC509" s="22">
        <f>AA509</f>
        <v>40410508</v>
      </c>
      <c r="AD509" s="19">
        <f>AC509/K509*100</f>
        <v>98.191004738184901</v>
      </c>
    </row>
    <row r="510" spans="2:31">
      <c r="B510" s="13">
        <v>2</v>
      </c>
      <c r="C510" s="17" t="s">
        <v>207</v>
      </c>
      <c r="D510" s="39" t="s">
        <v>30</v>
      </c>
      <c r="E510" s="204"/>
      <c r="F510" s="204"/>
      <c r="G510" s="193"/>
      <c r="H510" s="89"/>
      <c r="I510" s="193"/>
      <c r="J510" s="15">
        <v>1680000</v>
      </c>
      <c r="K510" s="99">
        <v>2400000</v>
      </c>
      <c r="L510" s="13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53">
        <f>AB510</f>
        <v>100</v>
      </c>
      <c r="Z510" s="53">
        <f>AD510</f>
        <v>100</v>
      </c>
      <c r="AA510" s="22">
        <v>2400000</v>
      </c>
      <c r="AB510" s="19">
        <f t="shared" ref="AB510:AB513" si="174">AA510/K510*100</f>
        <v>100</v>
      </c>
      <c r="AC510" s="22">
        <f>AA510</f>
        <v>2400000</v>
      </c>
      <c r="AD510" s="19">
        <f t="shared" ref="AD510:AD513" si="175">AC510/K510*100</f>
        <v>100</v>
      </c>
    </row>
    <row r="511" spans="2:31">
      <c r="B511" s="13">
        <f>B510+1</f>
        <v>3</v>
      </c>
      <c r="C511" s="17" t="s">
        <v>208</v>
      </c>
      <c r="D511" s="39" t="s">
        <v>32</v>
      </c>
      <c r="E511" s="204"/>
      <c r="F511" s="204"/>
      <c r="G511" s="193"/>
      <c r="H511" s="89"/>
      <c r="I511" s="193"/>
      <c r="J511" s="15">
        <v>2750000</v>
      </c>
      <c r="K511" s="99">
        <v>1650000</v>
      </c>
      <c r="L511" s="13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53">
        <f>AB511</f>
        <v>100</v>
      </c>
      <c r="Z511" s="53">
        <f>AD511</f>
        <v>100</v>
      </c>
      <c r="AA511" s="22">
        <v>1650000</v>
      </c>
      <c r="AB511" s="19">
        <f t="shared" si="174"/>
        <v>100</v>
      </c>
      <c r="AC511" s="22">
        <f>AA511</f>
        <v>1650000</v>
      </c>
      <c r="AD511" s="19">
        <f t="shared" si="175"/>
        <v>100</v>
      </c>
    </row>
    <row r="512" spans="2:31">
      <c r="B512" s="45">
        <f>B511+1</f>
        <v>4</v>
      </c>
      <c r="C512" s="44" t="s">
        <v>209</v>
      </c>
      <c r="D512" s="78" t="s">
        <v>34</v>
      </c>
      <c r="E512" s="489"/>
      <c r="F512" s="489"/>
      <c r="G512" s="240"/>
      <c r="H512" s="186"/>
      <c r="I512" s="240"/>
      <c r="J512" s="79">
        <v>17500000</v>
      </c>
      <c r="K512" s="99">
        <v>16800000</v>
      </c>
      <c r="L512" s="45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55">
        <f>AB512</f>
        <v>100</v>
      </c>
      <c r="Z512" s="55">
        <f>AD512</f>
        <v>100</v>
      </c>
      <c r="AA512" s="73">
        <v>16800000</v>
      </c>
      <c r="AB512" s="19">
        <f t="shared" si="174"/>
        <v>100</v>
      </c>
      <c r="AC512" s="73">
        <f>AA512</f>
        <v>16800000</v>
      </c>
      <c r="AD512" s="19">
        <f t="shared" si="175"/>
        <v>100</v>
      </c>
    </row>
    <row r="513" spans="1:31" ht="25.5">
      <c r="B513" s="32">
        <v>5</v>
      </c>
      <c r="C513" s="368">
        <v>16.23</v>
      </c>
      <c r="D513" s="21" t="s">
        <v>1631</v>
      </c>
      <c r="E513" s="507"/>
      <c r="F513" s="489"/>
      <c r="G513" s="240"/>
      <c r="H513" s="186"/>
      <c r="I513" s="240"/>
      <c r="J513" s="15">
        <v>10000000</v>
      </c>
      <c r="K513" s="99">
        <v>10000000</v>
      </c>
      <c r="L513" s="32"/>
      <c r="M513" s="33"/>
      <c r="N513" s="33"/>
      <c r="O513" s="33"/>
      <c r="P513" s="33"/>
      <c r="Q513" s="33"/>
      <c r="R513" s="44"/>
      <c r="S513" s="44"/>
      <c r="T513" s="44"/>
      <c r="U513" s="44"/>
      <c r="V513" s="44"/>
      <c r="W513" s="44"/>
      <c r="X513" s="44"/>
      <c r="Y513" s="55">
        <f>AB513</f>
        <v>100</v>
      </c>
      <c r="Z513" s="55">
        <f>AD513</f>
        <v>100</v>
      </c>
      <c r="AA513" s="73">
        <v>10000000</v>
      </c>
      <c r="AB513" s="19">
        <f t="shared" si="174"/>
        <v>100</v>
      </c>
      <c r="AC513" s="73">
        <f>AA513</f>
        <v>10000000</v>
      </c>
      <c r="AD513" s="19">
        <f t="shared" si="175"/>
        <v>100</v>
      </c>
    </row>
    <row r="514" spans="1:31" ht="20.25" customHeight="1">
      <c r="B514" s="360">
        <v>65</v>
      </c>
      <c r="C514" s="897" t="s">
        <v>1668</v>
      </c>
      <c r="D514" s="897"/>
      <c r="E514" s="508"/>
      <c r="F514" s="508">
        <v>5</v>
      </c>
      <c r="G514" s="499"/>
      <c r="H514" s="577"/>
      <c r="I514" s="499"/>
      <c r="J514" s="342">
        <f>SUM(J509:J513)</f>
        <v>67000000</v>
      </c>
      <c r="K514" s="342">
        <f>SUM(K509:K513)</f>
        <v>72005000</v>
      </c>
      <c r="L514" s="91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358">
        <f>SUM(Y509:Y513)/5</f>
        <v>99.638200947636989</v>
      </c>
      <c r="Z514" s="358">
        <f>SUM(Z509:Z513)/5</f>
        <v>99.638200947636989</v>
      </c>
      <c r="AA514" s="363">
        <f>SUM(AA509:AA513)</f>
        <v>71260508</v>
      </c>
      <c r="AB514" s="90">
        <f>SUM(AB509:AB513)/5</f>
        <v>99.638200947636989</v>
      </c>
      <c r="AC514" s="363">
        <f>SUM(AC509:AC513)</f>
        <v>71260508</v>
      </c>
      <c r="AD514" s="90">
        <f>SUM(AD509:AD513)/5</f>
        <v>99.638200947636989</v>
      </c>
    </row>
    <row r="515" spans="1:31">
      <c r="B515" s="66"/>
      <c r="C515" s="63" t="s">
        <v>1669</v>
      </c>
      <c r="D515" s="64" t="s">
        <v>1670</v>
      </c>
      <c r="E515" s="484"/>
      <c r="F515" s="484"/>
      <c r="G515" s="472"/>
      <c r="H515" s="242"/>
      <c r="I515" s="472"/>
      <c r="J515" s="65"/>
      <c r="K515" s="65"/>
      <c r="L515" s="66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1">
      <c r="B516" s="13">
        <v>1</v>
      </c>
      <c r="C516" s="74" t="s">
        <v>203</v>
      </c>
      <c r="D516" s="74" t="s">
        <v>28</v>
      </c>
      <c r="E516" s="204"/>
      <c r="F516" s="204"/>
      <c r="G516" s="193"/>
      <c r="H516" s="89"/>
      <c r="I516" s="193"/>
      <c r="J516" s="15">
        <v>48705000</v>
      </c>
      <c r="K516" s="99">
        <v>49735000</v>
      </c>
      <c r="L516" s="13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53">
        <v>100</v>
      </c>
      <c r="Z516" s="53">
        <v>100</v>
      </c>
      <c r="AA516" s="22">
        <v>46827310</v>
      </c>
      <c r="AB516" s="19">
        <f>AA516/K516*100</f>
        <v>94.153634261586404</v>
      </c>
      <c r="AC516" s="22">
        <f>AA516</f>
        <v>46827310</v>
      </c>
      <c r="AD516" s="19">
        <f>AC516/K516*100</f>
        <v>94.153634261586404</v>
      </c>
    </row>
    <row r="517" spans="1:31">
      <c r="B517" s="13">
        <f>B516+1</f>
        <v>2</v>
      </c>
      <c r="C517" s="74" t="s">
        <v>210</v>
      </c>
      <c r="D517" s="74" t="s">
        <v>30</v>
      </c>
      <c r="E517" s="204"/>
      <c r="F517" s="204"/>
      <c r="G517" s="193"/>
      <c r="H517" s="89"/>
      <c r="I517" s="193"/>
      <c r="J517" s="15">
        <v>2100000</v>
      </c>
      <c r="K517" s="99">
        <v>2100000</v>
      </c>
      <c r="L517" s="13"/>
      <c r="M517" s="17" t="s">
        <v>1</v>
      </c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53">
        <f>AB517</f>
        <v>100</v>
      </c>
      <c r="Z517" s="53">
        <f>AD517</f>
        <v>100</v>
      </c>
      <c r="AA517" s="22">
        <v>2100000</v>
      </c>
      <c r="AB517" s="19">
        <f t="shared" ref="AB517:AB519" si="176">AA517/K517*100</f>
        <v>100</v>
      </c>
      <c r="AC517" s="22">
        <f>AA517</f>
        <v>2100000</v>
      </c>
      <c r="AD517" s="19">
        <f t="shared" ref="AD517:AD519" si="177">AC517/K517*100</f>
        <v>100</v>
      </c>
    </row>
    <row r="518" spans="1:31">
      <c r="B518" s="45">
        <f>B517+1</f>
        <v>3</v>
      </c>
      <c r="C518" s="93" t="s">
        <v>204</v>
      </c>
      <c r="D518" s="93" t="s">
        <v>32</v>
      </c>
      <c r="E518" s="489"/>
      <c r="F518" s="489"/>
      <c r="G518" s="240"/>
      <c r="H518" s="186"/>
      <c r="I518" s="240"/>
      <c r="J518" s="15">
        <v>4245000</v>
      </c>
      <c r="K518" s="99">
        <v>4245000</v>
      </c>
      <c r="L518" s="45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55">
        <f>AB518</f>
        <v>100</v>
      </c>
      <c r="Z518" s="55">
        <f>AD518</f>
        <v>100</v>
      </c>
      <c r="AA518" s="73">
        <v>4245000</v>
      </c>
      <c r="AB518" s="19">
        <f t="shared" si="176"/>
        <v>100</v>
      </c>
      <c r="AC518" s="73">
        <f>AA518</f>
        <v>4245000</v>
      </c>
      <c r="AD518" s="19">
        <f t="shared" si="177"/>
        <v>100</v>
      </c>
    </row>
    <row r="519" spans="1:31">
      <c r="B519" s="32">
        <f>B518+1</f>
        <v>4</v>
      </c>
      <c r="C519" s="316" t="s">
        <v>205</v>
      </c>
      <c r="D519" s="317" t="s">
        <v>34</v>
      </c>
      <c r="E519" s="507"/>
      <c r="F519" s="489"/>
      <c r="G519" s="240"/>
      <c r="H519" s="186"/>
      <c r="I519" s="240"/>
      <c r="J519" s="15">
        <v>1950000</v>
      </c>
      <c r="K519" s="99">
        <v>6750000</v>
      </c>
      <c r="L519" s="32"/>
      <c r="M519" s="33"/>
      <c r="N519" s="33"/>
      <c r="O519" s="33"/>
      <c r="P519" s="33"/>
      <c r="Q519" s="33"/>
      <c r="R519" s="44"/>
      <c r="S519" s="44"/>
      <c r="T519" s="44"/>
      <c r="U519" s="44"/>
      <c r="V519" s="44"/>
      <c r="W519" s="44"/>
      <c r="X519" s="44"/>
      <c r="Y519" s="55">
        <f>AB519</f>
        <v>100</v>
      </c>
      <c r="Z519" s="55">
        <f>AB519</f>
        <v>100</v>
      </c>
      <c r="AA519" s="325">
        <v>6750000</v>
      </c>
      <c r="AB519" s="19">
        <f t="shared" si="176"/>
        <v>100</v>
      </c>
      <c r="AC519" s="73">
        <f>AA519</f>
        <v>6750000</v>
      </c>
      <c r="AD519" s="19">
        <f t="shared" si="177"/>
        <v>100</v>
      </c>
    </row>
    <row r="520" spans="1:31">
      <c r="B520" s="341">
        <v>66</v>
      </c>
      <c r="C520" s="897" t="s">
        <v>1671</v>
      </c>
      <c r="D520" s="897"/>
      <c r="E520" s="508"/>
      <c r="F520" s="508">
        <v>4</v>
      </c>
      <c r="G520" s="499"/>
      <c r="H520" s="577"/>
      <c r="I520" s="499"/>
      <c r="J520" s="342">
        <f>SUM(J516:J519)</f>
        <v>57000000</v>
      </c>
      <c r="K520" s="342">
        <f>SUM(K516:K519)</f>
        <v>62830000</v>
      </c>
      <c r="L520" s="91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4">
        <f>SUM(Y516:Y519)/4</f>
        <v>100</v>
      </c>
      <c r="Z520" s="94">
        <f>SUM(Z516:Z519)/4</f>
        <v>100</v>
      </c>
      <c r="AA520" s="342">
        <f>SUM(AA516:AA519)</f>
        <v>59922310</v>
      </c>
      <c r="AB520" s="94">
        <f>SUM(AB516:AB519)/4</f>
        <v>98.538408565396594</v>
      </c>
      <c r="AC520" s="342">
        <f>SUM(AC516:AC519)</f>
        <v>59922310</v>
      </c>
      <c r="AD520" s="94">
        <f>SUM(AD516:AD519)/4</f>
        <v>98.538408565396594</v>
      </c>
    </row>
    <row r="521" spans="1:31">
      <c r="B521" s="62"/>
      <c r="C521" s="63" t="s">
        <v>1672</v>
      </c>
      <c r="D521" s="64" t="s">
        <v>1673</v>
      </c>
      <c r="E521" s="484"/>
      <c r="F521" s="484"/>
      <c r="G521" s="472"/>
      <c r="H521" s="242"/>
      <c r="I521" s="472"/>
      <c r="J521" s="65"/>
      <c r="K521" s="12"/>
      <c r="L521" s="66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1">
      <c r="B522" s="13">
        <v>1</v>
      </c>
      <c r="C522" s="74" t="s">
        <v>203</v>
      </c>
      <c r="D522" s="74" t="s">
        <v>28</v>
      </c>
      <c r="E522" s="204"/>
      <c r="F522" s="204"/>
      <c r="G522" s="193"/>
      <c r="H522" s="89"/>
      <c r="I522" s="193"/>
      <c r="J522" s="15">
        <v>43480000</v>
      </c>
      <c r="K522" s="99">
        <v>47890000</v>
      </c>
      <c r="L522" s="13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53">
        <f>AB522</f>
        <v>99.786823971601592</v>
      </c>
      <c r="Z522" s="53">
        <f>AD522</f>
        <v>99.786823971601592</v>
      </c>
      <c r="AA522" s="22">
        <v>47787910</v>
      </c>
      <c r="AB522" s="19">
        <f>AA522/K522*100</f>
        <v>99.786823971601592</v>
      </c>
      <c r="AC522" s="22">
        <f>AA522</f>
        <v>47787910</v>
      </c>
      <c r="AD522" s="19">
        <f>AC522/K522*100</f>
        <v>99.786823971601592</v>
      </c>
    </row>
    <row r="523" spans="1:31">
      <c r="B523" s="13">
        <v>2</v>
      </c>
      <c r="C523" s="74" t="s">
        <v>210</v>
      </c>
      <c r="D523" s="74" t="s">
        <v>30</v>
      </c>
      <c r="E523" s="204"/>
      <c r="F523" s="204"/>
      <c r="G523" s="193"/>
      <c r="H523" s="89"/>
      <c r="I523" s="193"/>
      <c r="J523" s="15">
        <v>2520000</v>
      </c>
      <c r="K523" s="99">
        <v>3115000</v>
      </c>
      <c r="L523" s="13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53">
        <f>AB523</f>
        <v>100</v>
      </c>
      <c r="Z523" s="53">
        <f>AD523</f>
        <v>100</v>
      </c>
      <c r="AA523" s="22">
        <v>3115000</v>
      </c>
      <c r="AB523" s="19">
        <f t="shared" ref="AB523:AB524" si="178">AA523/K523*100</f>
        <v>100</v>
      </c>
      <c r="AC523" s="22">
        <f>AA523</f>
        <v>3115000</v>
      </c>
      <c r="AD523" s="19">
        <f t="shared" ref="AD523:AD524" si="179">AC523/K523*100</f>
        <v>100</v>
      </c>
    </row>
    <row r="524" spans="1:31" s="69" customFormat="1">
      <c r="A524" s="1"/>
      <c r="B524" s="13">
        <v>3</v>
      </c>
      <c r="C524" s="74" t="s">
        <v>205</v>
      </c>
      <c r="D524" s="74" t="s">
        <v>34</v>
      </c>
      <c r="E524" s="204"/>
      <c r="F524" s="204"/>
      <c r="G524" s="193"/>
      <c r="H524" s="89"/>
      <c r="I524" s="193"/>
      <c r="J524" s="15">
        <v>11000000</v>
      </c>
      <c r="K524" s="99">
        <v>11000000</v>
      </c>
      <c r="L524" s="13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53">
        <f>AB524</f>
        <v>100</v>
      </c>
      <c r="Z524" s="53">
        <f>AD524</f>
        <v>100</v>
      </c>
      <c r="AA524" s="22">
        <v>11000000</v>
      </c>
      <c r="AB524" s="19">
        <f t="shared" si="178"/>
        <v>100</v>
      </c>
      <c r="AC524" s="22">
        <f>AA524</f>
        <v>11000000</v>
      </c>
      <c r="AD524" s="19">
        <f t="shared" si="179"/>
        <v>100</v>
      </c>
      <c r="AE524" s="2"/>
    </row>
    <row r="525" spans="1:31">
      <c r="B525" s="341">
        <v>67</v>
      </c>
      <c r="C525" s="897" t="s">
        <v>1674</v>
      </c>
      <c r="D525" s="897"/>
      <c r="E525" s="508"/>
      <c r="F525" s="508">
        <v>3</v>
      </c>
      <c r="G525" s="499"/>
      <c r="H525" s="577"/>
      <c r="I525" s="499"/>
      <c r="J525" s="342">
        <f>SUM(J522:J524)</f>
        <v>57000000</v>
      </c>
      <c r="K525" s="342">
        <f>SUM(K522:K524)</f>
        <v>62005000</v>
      </c>
      <c r="L525" s="91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342">
        <f>SUM(Y522:Y524)/3</f>
        <v>99.928941323867207</v>
      </c>
      <c r="Z525" s="342">
        <f>SUM(Z522:Z524)/3</f>
        <v>99.928941323867207</v>
      </c>
      <c r="AA525" s="342">
        <f>SUM(AA522:AA524)</f>
        <v>61902910</v>
      </c>
      <c r="AB525" s="342">
        <f>SUM(AB522:AB524)/3</f>
        <v>99.928941323867207</v>
      </c>
      <c r="AC525" s="342">
        <f>SUM(AC522:AC524)</f>
        <v>61902910</v>
      </c>
      <c r="AD525" s="342">
        <f>SUM(AD522:AD524)/3</f>
        <v>99.928941323867207</v>
      </c>
    </row>
    <row r="526" spans="1:31">
      <c r="B526" s="66"/>
      <c r="C526" s="63" t="s">
        <v>1675</v>
      </c>
      <c r="D526" s="64" t="s">
        <v>1676</v>
      </c>
      <c r="E526" s="484"/>
      <c r="F526" s="484"/>
      <c r="G526" s="472"/>
      <c r="H526" s="242"/>
      <c r="I526" s="472"/>
      <c r="J526" s="65"/>
      <c r="K526" s="65"/>
      <c r="L526" s="66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1">
      <c r="B527" s="48">
        <v>1</v>
      </c>
      <c r="C527" s="74" t="s">
        <v>203</v>
      </c>
      <c r="D527" s="74" t="s">
        <v>28</v>
      </c>
      <c r="E527" s="204"/>
      <c r="F527" s="204"/>
      <c r="G527" s="193"/>
      <c r="H527" s="89"/>
      <c r="I527" s="193"/>
      <c r="J527" s="15">
        <v>47000000</v>
      </c>
      <c r="K527" s="99">
        <v>53380000</v>
      </c>
      <c r="L527" s="13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53">
        <f>AB527</f>
        <v>87.806749718995874</v>
      </c>
      <c r="Z527" s="53">
        <f>AD527</f>
        <v>87.806749718995874</v>
      </c>
      <c r="AA527" s="22">
        <f>7648500+4302103+8651640+3869000+10520000+11880000</f>
        <v>46871243</v>
      </c>
      <c r="AB527" s="19">
        <f>AA527/K527*100</f>
        <v>87.806749718995874</v>
      </c>
      <c r="AC527" s="53">
        <f>AA527</f>
        <v>46871243</v>
      </c>
      <c r="AD527" s="19">
        <f>AC527/K527*100</f>
        <v>87.806749718995874</v>
      </c>
    </row>
    <row r="528" spans="1:31">
      <c r="B528" s="13">
        <v>2</v>
      </c>
      <c r="C528" s="74" t="s">
        <v>210</v>
      </c>
      <c r="D528" s="74" t="s">
        <v>30</v>
      </c>
      <c r="E528" s="204"/>
      <c r="F528" s="204"/>
      <c r="G528" s="193"/>
      <c r="H528" s="89"/>
      <c r="I528" s="193"/>
      <c r="J528" s="15">
        <v>2500000</v>
      </c>
      <c r="K528" s="99">
        <v>2500000</v>
      </c>
      <c r="L528" s="13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53">
        <f>AB528</f>
        <v>99.6</v>
      </c>
      <c r="Z528" s="53">
        <f>AD528</f>
        <v>99.6</v>
      </c>
      <c r="AA528" s="22">
        <v>2490000</v>
      </c>
      <c r="AB528" s="19">
        <f t="shared" ref="AB528:AB529" si="180">AA528/K528*100</f>
        <v>99.6</v>
      </c>
      <c r="AC528" s="53">
        <f>AA528</f>
        <v>2490000</v>
      </c>
      <c r="AD528" s="19">
        <f t="shared" ref="AD528:AD529" si="181">AC528/K528*100</f>
        <v>99.6</v>
      </c>
    </row>
    <row r="529" spans="2:30">
      <c r="B529" s="13">
        <v>3</v>
      </c>
      <c r="C529" s="74" t="s">
        <v>204</v>
      </c>
      <c r="D529" s="74" t="s">
        <v>32</v>
      </c>
      <c r="E529" s="489"/>
      <c r="F529" s="489"/>
      <c r="G529" s="240"/>
      <c r="H529" s="186"/>
      <c r="I529" s="240"/>
      <c r="J529" s="15">
        <v>7500000</v>
      </c>
      <c r="K529" s="99">
        <v>7500000</v>
      </c>
      <c r="L529" s="45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55">
        <f>AB529</f>
        <v>99.773333333333341</v>
      </c>
      <c r="Z529" s="55">
        <f>AD529</f>
        <v>99.773333333333341</v>
      </c>
      <c r="AA529" s="73">
        <f>7483000</f>
        <v>7483000</v>
      </c>
      <c r="AB529" s="19">
        <f t="shared" si="180"/>
        <v>99.773333333333341</v>
      </c>
      <c r="AC529" s="55">
        <f>AA529</f>
        <v>7483000</v>
      </c>
      <c r="AD529" s="19">
        <f t="shared" si="181"/>
        <v>99.773333333333341</v>
      </c>
    </row>
    <row r="530" spans="2:30">
      <c r="B530" s="341">
        <v>68</v>
      </c>
      <c r="C530" s="897" t="s">
        <v>1677</v>
      </c>
      <c r="D530" s="897"/>
      <c r="E530" s="508"/>
      <c r="F530" s="508">
        <v>3</v>
      </c>
      <c r="G530" s="499"/>
      <c r="H530" s="577"/>
      <c r="I530" s="499"/>
      <c r="J530" s="342">
        <f>SUM(J527:J529)</f>
        <v>57000000</v>
      </c>
      <c r="K530" s="342">
        <f>SUM(K527:K529)</f>
        <v>63380000</v>
      </c>
      <c r="L530" s="91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364">
        <f>SUM(Y527:Y529)/3</f>
        <v>95.726694350776413</v>
      </c>
      <c r="Z530" s="364">
        <f>SUM(Z527:Z529)/3</f>
        <v>95.726694350776413</v>
      </c>
      <c r="AA530" s="364">
        <f>SUM(AA527:AA529)</f>
        <v>56844243</v>
      </c>
      <c r="AB530" s="364">
        <f>SUM(AB527:AB529)/3</f>
        <v>95.726694350776413</v>
      </c>
      <c r="AC530" s="364">
        <f>SUM(AC527:AC529)</f>
        <v>56844243</v>
      </c>
      <c r="AD530" s="364">
        <f>SUM(AD527:AD529)/3</f>
        <v>95.726694350776413</v>
      </c>
    </row>
    <row r="531" spans="2:30">
      <c r="B531" s="66"/>
      <c r="C531" s="63" t="s">
        <v>1678</v>
      </c>
      <c r="D531" s="64" t="s">
        <v>1679</v>
      </c>
      <c r="E531" s="484"/>
      <c r="F531" s="484"/>
      <c r="G531" s="472"/>
      <c r="H531" s="242"/>
      <c r="I531" s="472"/>
      <c r="J531" s="65"/>
      <c r="K531" s="65"/>
      <c r="L531" s="66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2:30">
      <c r="B532" s="48">
        <v>1</v>
      </c>
      <c r="C532" s="74" t="s">
        <v>203</v>
      </c>
      <c r="D532" s="74" t="s">
        <v>28</v>
      </c>
      <c r="E532" s="204"/>
      <c r="F532" s="204"/>
      <c r="G532" s="193"/>
      <c r="H532" s="89"/>
      <c r="I532" s="193"/>
      <c r="J532" s="15">
        <v>44050000</v>
      </c>
      <c r="K532" s="99">
        <v>49605000</v>
      </c>
      <c r="L532" s="13"/>
      <c r="M532" s="17" t="s">
        <v>1</v>
      </c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53">
        <f>AB532</f>
        <v>95.533661929241006</v>
      </c>
      <c r="Z532" s="53">
        <f>AD532</f>
        <v>95.533661929241006</v>
      </c>
      <c r="AA532" s="22">
        <v>47389473</v>
      </c>
      <c r="AB532" s="19">
        <f>AA532/K532*100</f>
        <v>95.533661929241006</v>
      </c>
      <c r="AC532" s="53">
        <f>AA532</f>
        <v>47389473</v>
      </c>
      <c r="AD532" s="19">
        <f>AC532/K532*100</f>
        <v>95.533661929241006</v>
      </c>
    </row>
    <row r="533" spans="2:30">
      <c r="B533" s="13">
        <v>2</v>
      </c>
      <c r="C533" s="74" t="s">
        <v>210</v>
      </c>
      <c r="D533" s="74" t="s">
        <v>30</v>
      </c>
      <c r="E533" s="204"/>
      <c r="F533" s="204"/>
      <c r="G533" s="193"/>
      <c r="H533" s="89"/>
      <c r="I533" s="193"/>
      <c r="J533" s="15">
        <v>2000000</v>
      </c>
      <c r="K533" s="99">
        <v>2500000</v>
      </c>
      <c r="L533" s="13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53">
        <f>AB533</f>
        <v>100</v>
      </c>
      <c r="Z533" s="53">
        <f>AD533</f>
        <v>100</v>
      </c>
      <c r="AA533" s="22">
        <v>2500000</v>
      </c>
      <c r="AB533" s="19">
        <f t="shared" ref="AB533:AB535" si="182">AA533/K533*100</f>
        <v>100</v>
      </c>
      <c r="AC533" s="53">
        <f>AA533</f>
        <v>2500000</v>
      </c>
      <c r="AD533" s="19">
        <f t="shared" ref="AD533:AD535" si="183">AC533/K533*100</f>
        <v>100</v>
      </c>
    </row>
    <row r="534" spans="2:30">
      <c r="B534" s="13">
        <v>3</v>
      </c>
      <c r="C534" s="74" t="s">
        <v>204</v>
      </c>
      <c r="D534" s="74" t="s">
        <v>32</v>
      </c>
      <c r="E534" s="204"/>
      <c r="F534" s="204"/>
      <c r="G534" s="193"/>
      <c r="H534" s="89"/>
      <c r="I534" s="193"/>
      <c r="J534" s="15">
        <v>1000000</v>
      </c>
      <c r="K534" s="99">
        <v>1000000</v>
      </c>
      <c r="L534" s="13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53">
        <f>AB534</f>
        <v>100</v>
      </c>
      <c r="Z534" s="53">
        <f>AD534</f>
        <v>100</v>
      </c>
      <c r="AA534" s="22">
        <v>1000000</v>
      </c>
      <c r="AB534" s="19">
        <f t="shared" si="182"/>
        <v>100</v>
      </c>
      <c r="AC534" s="53">
        <f>AA534</f>
        <v>1000000</v>
      </c>
      <c r="AD534" s="19">
        <f t="shared" si="183"/>
        <v>100</v>
      </c>
    </row>
    <row r="535" spans="2:30">
      <c r="B535" s="45">
        <f>B534+1</f>
        <v>4</v>
      </c>
      <c r="C535" s="93" t="s">
        <v>205</v>
      </c>
      <c r="D535" s="93" t="s">
        <v>34</v>
      </c>
      <c r="E535" s="489"/>
      <c r="F535" s="489"/>
      <c r="G535" s="240"/>
      <c r="H535" s="186"/>
      <c r="I535" s="240"/>
      <c r="J535" s="15">
        <v>9950000</v>
      </c>
      <c r="K535" s="99">
        <v>9450000</v>
      </c>
      <c r="L535" s="45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53">
        <f>AB535</f>
        <v>100</v>
      </c>
      <c r="Z535" s="53">
        <f>AD535</f>
        <v>100</v>
      </c>
      <c r="AA535" s="73">
        <v>9450000</v>
      </c>
      <c r="AB535" s="19">
        <f t="shared" si="182"/>
        <v>100</v>
      </c>
      <c r="AC535" s="73">
        <f>AA535</f>
        <v>9450000</v>
      </c>
      <c r="AD535" s="19">
        <f t="shared" si="183"/>
        <v>100</v>
      </c>
    </row>
    <row r="536" spans="2:30">
      <c r="B536" s="341">
        <v>69</v>
      </c>
      <c r="C536" s="897" t="s">
        <v>1680</v>
      </c>
      <c r="D536" s="897"/>
      <c r="E536" s="508"/>
      <c r="F536" s="508">
        <v>4</v>
      </c>
      <c r="G536" s="499"/>
      <c r="H536" s="577"/>
      <c r="I536" s="499"/>
      <c r="J536" s="342">
        <f>SUM(J532:J535)</f>
        <v>57000000</v>
      </c>
      <c r="K536" s="342">
        <f>SUM(K532:K535)</f>
        <v>62555000</v>
      </c>
      <c r="L536" s="91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358">
        <f>SUM(Y532:Y535)/4</f>
        <v>98.883415482310255</v>
      </c>
      <c r="Z536" s="358">
        <f>SUM(Z532:Z535)/4</f>
        <v>98.883415482310255</v>
      </c>
      <c r="AA536" s="363">
        <f>SUM(AA532:AA535)</f>
        <v>60339473</v>
      </c>
      <c r="AB536" s="358">
        <f>SUM(AB532:AB535)/4</f>
        <v>98.883415482310255</v>
      </c>
      <c r="AC536" s="363">
        <f>SUM(AC532:AC535)</f>
        <v>60339473</v>
      </c>
      <c r="AD536" s="358">
        <f>SUM(AD532:AD535)/4</f>
        <v>98.883415482310255</v>
      </c>
    </row>
    <row r="537" spans="2:30">
      <c r="B537" s="48"/>
      <c r="C537" s="17" t="s">
        <v>1681</v>
      </c>
      <c r="D537" s="70" t="s">
        <v>1682</v>
      </c>
      <c r="E537" s="204"/>
      <c r="F537" s="204"/>
      <c r="G537" s="193"/>
      <c r="H537" s="89"/>
      <c r="I537" s="193"/>
      <c r="J537" s="25"/>
      <c r="K537" s="25"/>
      <c r="L537" s="13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</row>
    <row r="538" spans="2:30">
      <c r="B538" s="13">
        <v>1</v>
      </c>
      <c r="C538" s="74" t="s">
        <v>203</v>
      </c>
      <c r="D538" s="74" t="s">
        <v>28</v>
      </c>
      <c r="E538" s="204"/>
      <c r="F538" s="204"/>
      <c r="G538" s="193"/>
      <c r="H538" s="89"/>
      <c r="I538" s="193"/>
      <c r="J538" s="15">
        <v>39500000</v>
      </c>
      <c r="K538" s="99">
        <v>31255000</v>
      </c>
      <c r="L538" s="13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53">
        <f>AB538</f>
        <v>92.236736522156463</v>
      </c>
      <c r="Z538" s="53">
        <f>AD538</f>
        <v>92.236736522156463</v>
      </c>
      <c r="AA538" s="22">
        <v>28828592</v>
      </c>
      <c r="AB538" s="19">
        <f>AA538/K538*100</f>
        <v>92.236736522156463</v>
      </c>
      <c r="AC538" s="22">
        <f>AA538</f>
        <v>28828592</v>
      </c>
      <c r="AD538" s="19">
        <f>AC538/K538*100</f>
        <v>92.236736522156463</v>
      </c>
    </row>
    <row r="539" spans="2:30">
      <c r="B539" s="13">
        <v>2</v>
      </c>
      <c r="C539" s="74" t="s">
        <v>210</v>
      </c>
      <c r="D539" s="74" t="s">
        <v>30</v>
      </c>
      <c r="E539" s="204"/>
      <c r="F539" s="204"/>
      <c r="G539" s="193"/>
      <c r="H539" s="89"/>
      <c r="I539" s="193"/>
      <c r="J539" s="15">
        <v>1600000</v>
      </c>
      <c r="K539" s="99">
        <v>1600000</v>
      </c>
      <c r="L539" s="13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53">
        <f>AB539</f>
        <v>82.8125</v>
      </c>
      <c r="Z539" s="53">
        <f>AD539</f>
        <v>82.8125</v>
      </c>
      <c r="AA539" s="22">
        <v>1325000</v>
      </c>
      <c r="AB539" s="19">
        <f t="shared" ref="AB539:AB541" si="184">AA539/K539*100</f>
        <v>82.8125</v>
      </c>
      <c r="AC539" s="22">
        <f>AA539</f>
        <v>1325000</v>
      </c>
      <c r="AD539" s="19">
        <f t="shared" ref="AD539:AD541" si="185">AC539/K539*100</f>
        <v>82.8125</v>
      </c>
    </row>
    <row r="540" spans="2:30">
      <c r="B540" s="13">
        <v>3</v>
      </c>
      <c r="C540" s="74" t="s">
        <v>204</v>
      </c>
      <c r="D540" s="74" t="s">
        <v>32</v>
      </c>
      <c r="E540" s="204"/>
      <c r="F540" s="204"/>
      <c r="G540" s="193"/>
      <c r="H540" s="89"/>
      <c r="I540" s="193"/>
      <c r="J540" s="15">
        <v>3900000</v>
      </c>
      <c r="K540" s="99">
        <v>14400000</v>
      </c>
      <c r="L540" s="13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53">
        <f>AB540</f>
        <v>89.027777777777771</v>
      </c>
      <c r="Z540" s="53">
        <f>AD540</f>
        <v>89.027777777777771</v>
      </c>
      <c r="AA540" s="22">
        <v>12820000</v>
      </c>
      <c r="AB540" s="19">
        <f t="shared" si="184"/>
        <v>89.027777777777771</v>
      </c>
      <c r="AC540" s="22">
        <f>AA540</f>
        <v>12820000</v>
      </c>
      <c r="AD540" s="19">
        <f t="shared" si="185"/>
        <v>89.027777777777771</v>
      </c>
    </row>
    <row r="541" spans="2:30">
      <c r="B541" s="45">
        <f>B540+1</f>
        <v>4</v>
      </c>
      <c r="C541" s="93" t="s">
        <v>205</v>
      </c>
      <c r="D541" s="93" t="s">
        <v>34</v>
      </c>
      <c r="E541" s="489"/>
      <c r="F541" s="489"/>
      <c r="G541" s="240"/>
      <c r="H541" s="186"/>
      <c r="I541" s="240"/>
      <c r="J541" s="15">
        <v>12000000</v>
      </c>
      <c r="K541" s="99">
        <v>14750000</v>
      </c>
      <c r="L541" s="45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55">
        <f>AB541</f>
        <v>95.42033898305084</v>
      </c>
      <c r="Z541" s="55">
        <f>AD541</f>
        <v>95.42033898305084</v>
      </c>
      <c r="AA541" s="73">
        <v>14074500</v>
      </c>
      <c r="AB541" s="19">
        <f t="shared" si="184"/>
        <v>95.42033898305084</v>
      </c>
      <c r="AC541" s="73">
        <f>AA541</f>
        <v>14074500</v>
      </c>
      <c r="AD541" s="19">
        <f t="shared" si="185"/>
        <v>95.42033898305084</v>
      </c>
    </row>
    <row r="542" spans="2:30">
      <c r="B542" s="360">
        <v>70</v>
      </c>
      <c r="C542" s="897" t="s">
        <v>1683</v>
      </c>
      <c r="D542" s="897"/>
      <c r="E542" s="508"/>
      <c r="F542" s="508">
        <v>4</v>
      </c>
      <c r="G542" s="499"/>
      <c r="H542" s="577"/>
      <c r="I542" s="499"/>
      <c r="J542" s="342">
        <f>SUM(J538:J541)</f>
        <v>57000000</v>
      </c>
      <c r="K542" s="342">
        <f>SUM(K538:K541)</f>
        <v>62005000</v>
      </c>
      <c r="L542" s="91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358">
        <f>SUM(Y538:Y541)/4</f>
        <v>89.874338320746276</v>
      </c>
      <c r="Z542" s="358">
        <f>SUM(Z538:Z541)/4</f>
        <v>89.874338320746276</v>
      </c>
      <c r="AA542" s="363">
        <f>SUM(AA538:AA541)</f>
        <v>57048092</v>
      </c>
      <c r="AB542" s="358">
        <f>SUM(AB538:AB541)/4</f>
        <v>89.874338320746276</v>
      </c>
      <c r="AC542" s="363">
        <f>SUM(AC538:AC541)</f>
        <v>57048092</v>
      </c>
      <c r="AD542" s="358">
        <f>SUM(AD538:AD541)/4</f>
        <v>89.874338320746276</v>
      </c>
    </row>
    <row r="543" spans="2:30">
      <c r="B543" s="66"/>
      <c r="C543" s="63" t="s">
        <v>1684</v>
      </c>
      <c r="D543" s="64" t="s">
        <v>1685</v>
      </c>
      <c r="E543" s="484"/>
      <c r="F543" s="484"/>
      <c r="G543" s="472"/>
      <c r="H543" s="242"/>
      <c r="I543" s="472"/>
      <c r="J543" s="65"/>
      <c r="K543" s="65"/>
      <c r="L543" s="66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2:30">
      <c r="B544" s="13">
        <v>1</v>
      </c>
      <c r="C544" s="74" t="s">
        <v>203</v>
      </c>
      <c r="D544" s="74" t="s">
        <v>28</v>
      </c>
      <c r="E544" s="204"/>
      <c r="F544" s="204"/>
      <c r="G544" s="193"/>
      <c r="H544" s="89"/>
      <c r="I544" s="193"/>
      <c r="J544" s="15">
        <v>42200000</v>
      </c>
      <c r="K544" s="99">
        <v>47778000</v>
      </c>
      <c r="L544" s="13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53">
        <f>AB544</f>
        <v>75.612750638369121</v>
      </c>
      <c r="Z544" s="53">
        <f>AD544</f>
        <v>75.612750638369121</v>
      </c>
      <c r="AA544" s="53">
        <v>36126260</v>
      </c>
      <c r="AB544" s="19">
        <f>AA544/K544*100</f>
        <v>75.612750638369121</v>
      </c>
      <c r="AC544" s="53">
        <f>AA544</f>
        <v>36126260</v>
      </c>
      <c r="AD544" s="19">
        <f>AC544/K544*100</f>
        <v>75.612750638369121</v>
      </c>
    </row>
    <row r="545" spans="2:30">
      <c r="B545" s="45">
        <f>B544+1</f>
        <v>2</v>
      </c>
      <c r="C545" s="74" t="s">
        <v>210</v>
      </c>
      <c r="D545" s="21" t="s">
        <v>30</v>
      </c>
      <c r="E545" s="489"/>
      <c r="F545" s="489"/>
      <c r="G545" s="240"/>
      <c r="H545" s="186"/>
      <c r="I545" s="240"/>
      <c r="J545" s="15">
        <v>2800000</v>
      </c>
      <c r="K545" s="99">
        <v>2800000</v>
      </c>
      <c r="L545" s="45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55">
        <f>AB545</f>
        <v>47.142857142857139</v>
      </c>
      <c r="Z545" s="55">
        <f>AD545</f>
        <v>47.142857142857139</v>
      </c>
      <c r="AA545" s="55">
        <v>1320000</v>
      </c>
      <c r="AB545" s="19">
        <f t="shared" ref="AB545:AB546" si="186">AA545/K545*100</f>
        <v>47.142857142857139</v>
      </c>
      <c r="AC545" s="55">
        <f>AA545</f>
        <v>1320000</v>
      </c>
      <c r="AD545" s="19">
        <f t="shared" ref="AD545:AD546" si="187">AC545/K545*100</f>
        <v>47.142857142857139</v>
      </c>
    </row>
    <row r="546" spans="2:30">
      <c r="B546" s="32">
        <v>3</v>
      </c>
      <c r="C546" s="93" t="s">
        <v>205</v>
      </c>
      <c r="D546" s="93" t="s">
        <v>34</v>
      </c>
      <c r="E546" s="507"/>
      <c r="F546" s="489"/>
      <c r="G546" s="240"/>
      <c r="H546" s="186"/>
      <c r="I546" s="240"/>
      <c r="J546" s="15">
        <v>12000000</v>
      </c>
      <c r="K546" s="99">
        <v>12000000</v>
      </c>
      <c r="L546" s="32"/>
      <c r="M546" s="33"/>
      <c r="N546" s="33"/>
      <c r="O546" s="33"/>
      <c r="P546" s="33"/>
      <c r="Q546" s="33"/>
      <c r="R546" s="44"/>
      <c r="S546" s="44"/>
      <c r="T546" s="44"/>
      <c r="U546" s="44"/>
      <c r="V546" s="44"/>
      <c r="W546" s="44"/>
      <c r="X546" s="44"/>
      <c r="Y546" s="55">
        <f>AB546</f>
        <v>100</v>
      </c>
      <c r="Z546" s="55">
        <f>AD546</f>
        <v>100</v>
      </c>
      <c r="AA546" s="55">
        <v>12000000</v>
      </c>
      <c r="AB546" s="19">
        <f t="shared" si="186"/>
        <v>100</v>
      </c>
      <c r="AC546" s="55">
        <f>AA546</f>
        <v>12000000</v>
      </c>
      <c r="AD546" s="19">
        <f t="shared" si="187"/>
        <v>100</v>
      </c>
    </row>
    <row r="547" spans="2:30">
      <c r="B547" s="341">
        <v>71</v>
      </c>
      <c r="C547" s="897" t="s">
        <v>1686</v>
      </c>
      <c r="D547" s="897"/>
      <c r="E547" s="508"/>
      <c r="F547" s="508">
        <v>3</v>
      </c>
      <c r="G547" s="499"/>
      <c r="H547" s="577"/>
      <c r="I547" s="499"/>
      <c r="J547" s="342">
        <f>SUM(J544:J546)</f>
        <v>57000000</v>
      </c>
      <c r="K547" s="342">
        <f>SUM(K544:K546)</f>
        <v>62578000</v>
      </c>
      <c r="L547" s="91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358">
        <f>SUM(Y544:Y546)/3</f>
        <v>74.251869260408753</v>
      </c>
      <c r="Z547" s="358">
        <f>SUM(Z544:Z546)/3</f>
        <v>74.251869260408753</v>
      </c>
      <c r="AA547" s="358">
        <f>SUM(AA544:AA546)</f>
        <v>49446260</v>
      </c>
      <c r="AB547" s="358">
        <f>SUM(AB544:AB546)/3</f>
        <v>74.251869260408753</v>
      </c>
      <c r="AC547" s="358">
        <f>SUM(AC544:AC546)</f>
        <v>49446260</v>
      </c>
      <c r="AD547" s="358">
        <f>SUM(AD544:AD546)/3</f>
        <v>74.251869260408753</v>
      </c>
    </row>
    <row r="548" spans="2:30">
      <c r="B548" s="62"/>
      <c r="C548" s="63" t="s">
        <v>1687</v>
      </c>
      <c r="D548" s="64" t="s">
        <v>1688</v>
      </c>
      <c r="E548" s="484"/>
      <c r="F548" s="484"/>
      <c r="G548" s="472"/>
      <c r="H548" s="242"/>
      <c r="I548" s="472"/>
      <c r="J548" s="65"/>
      <c r="K548" s="65"/>
      <c r="L548" s="66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2:30">
      <c r="B549" s="13">
        <v>1</v>
      </c>
      <c r="C549" s="74" t="s">
        <v>203</v>
      </c>
      <c r="D549" s="74" t="s">
        <v>28</v>
      </c>
      <c r="E549" s="204"/>
      <c r="F549" s="204"/>
      <c r="G549" s="193"/>
      <c r="H549" s="89"/>
      <c r="I549" s="193"/>
      <c r="J549" s="15">
        <v>52228000</v>
      </c>
      <c r="K549" s="99">
        <v>56168000</v>
      </c>
      <c r="L549" s="13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53">
        <f>AB549</f>
        <v>96.6168690357499</v>
      </c>
      <c r="Z549" s="53">
        <f>AD549</f>
        <v>96.6168690357499</v>
      </c>
      <c r="AA549" s="53">
        <v>54267763</v>
      </c>
      <c r="AB549" s="19">
        <f>AA549/K549*100</f>
        <v>96.6168690357499</v>
      </c>
      <c r="AC549" s="53">
        <f>AA549</f>
        <v>54267763</v>
      </c>
      <c r="AD549" s="19">
        <f>AC549/K549*100</f>
        <v>96.6168690357499</v>
      </c>
    </row>
    <row r="550" spans="2:30" ht="19.5" customHeight="1">
      <c r="B550" s="45">
        <v>2</v>
      </c>
      <c r="C550" s="74" t="s">
        <v>210</v>
      </c>
      <c r="D550" s="74" t="s">
        <v>30</v>
      </c>
      <c r="E550" s="489"/>
      <c r="F550" s="489"/>
      <c r="G550" s="240"/>
      <c r="H550" s="186"/>
      <c r="I550" s="240"/>
      <c r="J550" s="15">
        <v>2100000</v>
      </c>
      <c r="K550" s="99">
        <v>3990000</v>
      </c>
      <c r="L550" s="45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55">
        <f>AB550</f>
        <v>87.719298245614027</v>
      </c>
      <c r="Z550" s="55">
        <f>AD550</f>
        <v>87.719298245614027</v>
      </c>
      <c r="AA550" s="55">
        <v>3500000</v>
      </c>
      <c r="AB550" s="19">
        <f t="shared" ref="AB550:AB551" si="188">AA550/K550*100</f>
        <v>87.719298245614027</v>
      </c>
      <c r="AC550" s="55">
        <f>AA550</f>
        <v>3500000</v>
      </c>
      <c r="AD550" s="19">
        <f t="shared" ref="AD550:AD551" si="189">AC550/K550*100</f>
        <v>87.719298245614027</v>
      </c>
    </row>
    <row r="551" spans="2:30" ht="20.25" customHeight="1">
      <c r="B551" s="32">
        <v>3</v>
      </c>
      <c r="C551" s="316" t="s">
        <v>205</v>
      </c>
      <c r="D551" s="317" t="s">
        <v>34</v>
      </c>
      <c r="E551" s="507"/>
      <c r="F551" s="489"/>
      <c r="G551" s="240"/>
      <c r="H551" s="186"/>
      <c r="I551" s="240"/>
      <c r="J551" s="15">
        <v>2672000</v>
      </c>
      <c r="K551" s="99">
        <v>2672000</v>
      </c>
      <c r="L551" s="32"/>
      <c r="M551" s="33"/>
      <c r="N551" s="33"/>
      <c r="O551" s="33"/>
      <c r="P551" s="33"/>
      <c r="Q551" s="33"/>
      <c r="R551" s="44"/>
      <c r="S551" s="44"/>
      <c r="T551" s="44"/>
      <c r="U551" s="44"/>
      <c r="V551" s="44"/>
      <c r="W551" s="44"/>
      <c r="X551" s="44"/>
      <c r="Y551" s="55">
        <f>AB551</f>
        <v>97.97904191616766</v>
      </c>
      <c r="Z551" s="55">
        <f>AD551</f>
        <v>97.97904191616766</v>
      </c>
      <c r="AA551" s="56">
        <v>2618000</v>
      </c>
      <c r="AB551" s="19">
        <f t="shared" si="188"/>
        <v>97.97904191616766</v>
      </c>
      <c r="AC551" s="55">
        <f>AA551</f>
        <v>2618000</v>
      </c>
      <c r="AD551" s="19">
        <f t="shared" si="189"/>
        <v>97.97904191616766</v>
      </c>
    </row>
    <row r="552" spans="2:30" ht="18" customHeight="1">
      <c r="B552" s="341">
        <v>72</v>
      </c>
      <c r="C552" s="897" t="s">
        <v>1689</v>
      </c>
      <c r="D552" s="897"/>
      <c r="E552" s="508"/>
      <c r="F552" s="508">
        <v>3</v>
      </c>
      <c r="G552" s="499"/>
      <c r="H552" s="577"/>
      <c r="I552" s="499"/>
      <c r="J552" s="342">
        <f>SUM(J549:J551)</f>
        <v>57000000</v>
      </c>
      <c r="K552" s="342">
        <f>SUM(K549:K551)</f>
        <v>62830000</v>
      </c>
      <c r="L552" s="91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4">
        <f>SUM(Y549:Y551)/3</f>
        <v>94.105069732510529</v>
      </c>
      <c r="Z552" s="94">
        <f>SUM(Z549:Z551)/3</f>
        <v>94.105069732510529</v>
      </c>
      <c r="AA552" s="342">
        <f>SUM(AA549:AA551)</f>
        <v>60385763</v>
      </c>
      <c r="AB552" s="94">
        <f>SUM(AB549:AB551)/3</f>
        <v>94.105069732510529</v>
      </c>
      <c r="AC552" s="342">
        <f>SUM(AC549:AC551)</f>
        <v>60385763</v>
      </c>
      <c r="AD552" s="94">
        <f>SUM(AD549:AD551)/3</f>
        <v>94.105069732510529</v>
      </c>
    </row>
    <row r="553" spans="2:30">
      <c r="B553" s="62"/>
      <c r="C553" s="63" t="s">
        <v>1690</v>
      </c>
      <c r="D553" s="64" t="s">
        <v>1691</v>
      </c>
      <c r="E553" s="484"/>
      <c r="F553" s="484"/>
      <c r="G553" s="472"/>
      <c r="H553" s="242"/>
      <c r="I553" s="472"/>
      <c r="J553" s="65"/>
      <c r="K553" s="65"/>
      <c r="L553" s="66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2:30" ht="18.75" customHeight="1">
      <c r="B554" s="13">
        <v>1</v>
      </c>
      <c r="C554" s="17" t="s">
        <v>206</v>
      </c>
      <c r="D554" s="21" t="s">
        <v>28</v>
      </c>
      <c r="E554" s="204"/>
      <c r="F554" s="204"/>
      <c r="G554" s="193"/>
      <c r="H554" s="89"/>
      <c r="I554" s="193"/>
      <c r="J554" s="15">
        <v>40701000</v>
      </c>
      <c r="K554" s="99">
        <v>42580000</v>
      </c>
      <c r="L554" s="13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53">
        <f>AB554</f>
        <v>93.484372945044626</v>
      </c>
      <c r="Z554" s="53">
        <f>AD554</f>
        <v>93.484372945044626</v>
      </c>
      <c r="AA554" s="22">
        <f>12542500+27263146</f>
        <v>39805646</v>
      </c>
      <c r="AB554" s="19">
        <f>AA554/K554*100</f>
        <v>93.484372945044626</v>
      </c>
      <c r="AC554" s="53">
        <f>AA554</f>
        <v>39805646</v>
      </c>
      <c r="AD554" s="19">
        <f>AC554/K554*100</f>
        <v>93.484372945044626</v>
      </c>
    </row>
    <row r="555" spans="2:30" ht="19.5" customHeight="1">
      <c r="B555" s="13">
        <v>2</v>
      </c>
      <c r="C555" s="17" t="s">
        <v>207</v>
      </c>
      <c r="D555" s="21" t="s">
        <v>30</v>
      </c>
      <c r="E555" s="204"/>
      <c r="F555" s="204"/>
      <c r="G555" s="193"/>
      <c r="H555" s="89"/>
      <c r="I555" s="193"/>
      <c r="J555" s="15">
        <v>2000000</v>
      </c>
      <c r="K555" s="99">
        <v>2800000</v>
      </c>
      <c r="L555" s="13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53">
        <f>AB555</f>
        <v>100</v>
      </c>
      <c r="Z555" s="53">
        <f>AD555</f>
        <v>100</v>
      </c>
      <c r="AA555" s="22">
        <v>2800000</v>
      </c>
      <c r="AB555" s="19">
        <f t="shared" ref="AB555:AB558" si="190">AA555/K555*100</f>
        <v>100</v>
      </c>
      <c r="AC555" s="53">
        <f>AA555</f>
        <v>2800000</v>
      </c>
      <c r="AD555" s="19">
        <f t="shared" ref="AD555:AD558" si="191">AC555/K555*100</f>
        <v>100</v>
      </c>
    </row>
    <row r="556" spans="2:30" ht="19.5" customHeight="1">
      <c r="B556" s="13">
        <v>3</v>
      </c>
      <c r="C556" s="50" t="s">
        <v>208</v>
      </c>
      <c r="D556" s="21" t="s">
        <v>32</v>
      </c>
      <c r="E556" s="204"/>
      <c r="F556" s="204"/>
      <c r="G556" s="193"/>
      <c r="H556" s="89"/>
      <c r="I556" s="193"/>
      <c r="J556" s="15">
        <v>5299000</v>
      </c>
      <c r="K556" s="99">
        <v>2625000</v>
      </c>
      <c r="L556" s="13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53">
        <f>AB556</f>
        <v>100</v>
      </c>
      <c r="Z556" s="53">
        <f>AD556</f>
        <v>100</v>
      </c>
      <c r="AA556" s="22">
        <v>2625000</v>
      </c>
      <c r="AB556" s="19">
        <f t="shared" si="190"/>
        <v>100</v>
      </c>
      <c r="AC556" s="53">
        <f>AA556</f>
        <v>2625000</v>
      </c>
      <c r="AD556" s="19">
        <f t="shared" si="191"/>
        <v>100</v>
      </c>
    </row>
    <row r="557" spans="2:30" ht="18.75" customHeight="1">
      <c r="B557" s="13">
        <v>4</v>
      </c>
      <c r="C557" s="50" t="s">
        <v>209</v>
      </c>
      <c r="D557" s="21" t="s">
        <v>34</v>
      </c>
      <c r="E557" s="204"/>
      <c r="F557" s="204"/>
      <c r="G557" s="193"/>
      <c r="H557" s="89"/>
      <c r="I557" s="193"/>
      <c r="J557" s="15">
        <v>9000000</v>
      </c>
      <c r="K557" s="99">
        <v>14000000</v>
      </c>
      <c r="L557" s="13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53">
        <f t="shared" ref="Y557:Y558" si="192">AB557</f>
        <v>100</v>
      </c>
      <c r="Z557" s="53">
        <f t="shared" ref="Z557:Z558" si="193">AD557</f>
        <v>100</v>
      </c>
      <c r="AA557" s="22">
        <f>6000000+8000000</f>
        <v>14000000</v>
      </c>
      <c r="AB557" s="19">
        <f t="shared" si="190"/>
        <v>100</v>
      </c>
      <c r="AC557" s="53">
        <f t="shared" ref="AC557:AC558" si="194">AA557</f>
        <v>14000000</v>
      </c>
      <c r="AD557" s="19">
        <f t="shared" si="191"/>
        <v>100</v>
      </c>
    </row>
    <row r="558" spans="2:30" ht="30.75" customHeight="1">
      <c r="B558" s="32">
        <v>5</v>
      </c>
      <c r="C558" s="368">
        <v>16.23</v>
      </c>
      <c r="D558" s="21" t="s">
        <v>1631</v>
      </c>
      <c r="E558" s="507"/>
      <c r="F558" s="489"/>
      <c r="G558" s="240"/>
      <c r="H558" s="186"/>
      <c r="I558" s="240"/>
      <c r="J558" s="15">
        <v>10000000</v>
      </c>
      <c r="K558" s="99">
        <v>10000000</v>
      </c>
      <c r="L558" s="32"/>
      <c r="M558" s="33"/>
      <c r="N558" s="33"/>
      <c r="O558" s="33"/>
      <c r="P558" s="33"/>
      <c r="Q558" s="33"/>
      <c r="R558" s="44"/>
      <c r="S558" s="44"/>
      <c r="T558" s="44"/>
      <c r="U558" s="44"/>
      <c r="V558" s="44"/>
      <c r="W558" s="44"/>
      <c r="X558" s="44"/>
      <c r="Y558" s="53">
        <f t="shared" si="192"/>
        <v>100</v>
      </c>
      <c r="Z558" s="53">
        <f t="shared" si="193"/>
        <v>100</v>
      </c>
      <c r="AA558" s="325">
        <v>10000000</v>
      </c>
      <c r="AB558" s="19">
        <f t="shared" si="190"/>
        <v>100</v>
      </c>
      <c r="AC558" s="53">
        <f t="shared" si="194"/>
        <v>10000000</v>
      </c>
      <c r="AD558" s="19">
        <f t="shared" si="191"/>
        <v>100</v>
      </c>
    </row>
    <row r="559" spans="2:30" ht="19.5" customHeight="1">
      <c r="B559" s="341">
        <v>73</v>
      </c>
      <c r="C559" s="897" t="s">
        <v>1692</v>
      </c>
      <c r="D559" s="897"/>
      <c r="E559" s="508"/>
      <c r="F559" s="508">
        <v>5</v>
      </c>
      <c r="G559" s="499"/>
      <c r="H559" s="577"/>
      <c r="I559" s="499"/>
      <c r="J559" s="342">
        <f>SUM(J554:J558)</f>
        <v>67000000</v>
      </c>
      <c r="K559" s="342">
        <f>SUM(K554:K558)</f>
        <v>72005000</v>
      </c>
      <c r="L559" s="91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4">
        <f>SUM(Y554:Y558)/5</f>
        <v>98.696874589008928</v>
      </c>
      <c r="Z559" s="94">
        <f>SUM(Z554:Z558)/5</f>
        <v>98.696874589008928</v>
      </c>
      <c r="AA559" s="342">
        <f>SUM(AA554:AA558)</f>
        <v>69230646</v>
      </c>
      <c r="AB559" s="94">
        <f>SUM(AB554:AB558)/5</f>
        <v>98.696874589008928</v>
      </c>
      <c r="AC559" s="342">
        <f>SUM(AC554:AC558)</f>
        <v>69230646</v>
      </c>
      <c r="AD559" s="94">
        <f>SUM(AD554:AD558)/5</f>
        <v>98.696874589008928</v>
      </c>
    </row>
    <row r="560" spans="2:30" ht="16.5" customHeight="1">
      <c r="B560" s="66"/>
      <c r="C560" s="63" t="s">
        <v>1693</v>
      </c>
      <c r="D560" s="64" t="s">
        <v>1694</v>
      </c>
      <c r="E560" s="484"/>
      <c r="F560" s="484"/>
      <c r="G560" s="472"/>
      <c r="H560" s="242"/>
      <c r="I560" s="472"/>
      <c r="J560" s="65"/>
      <c r="K560" s="65"/>
      <c r="L560" s="66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2:30" ht="27">
      <c r="B561" s="48"/>
      <c r="C561" s="86" t="s">
        <v>23</v>
      </c>
      <c r="D561" s="86" t="s">
        <v>26</v>
      </c>
      <c r="E561" s="87"/>
      <c r="F561" s="485"/>
      <c r="G561" s="441"/>
      <c r="H561" s="87"/>
      <c r="I561" s="87"/>
      <c r="J561" s="88"/>
      <c r="K561" s="25"/>
      <c r="L561" s="13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20"/>
      <c r="Z561" s="98"/>
      <c r="AA561" s="25"/>
      <c r="AB561" s="98"/>
      <c r="AC561" s="25"/>
      <c r="AD561" s="98"/>
    </row>
    <row r="562" spans="2:30">
      <c r="B562" s="48">
        <v>1</v>
      </c>
      <c r="C562" s="74" t="s">
        <v>203</v>
      </c>
      <c r="D562" s="74" t="s">
        <v>28</v>
      </c>
      <c r="E562" s="89"/>
      <c r="F562" s="204"/>
      <c r="G562" s="193"/>
      <c r="H562" s="89"/>
      <c r="I562" s="89"/>
      <c r="J562" s="15">
        <v>39880000</v>
      </c>
      <c r="K562" s="99">
        <v>42805000</v>
      </c>
      <c r="L562" s="13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53">
        <f>AB562</f>
        <v>98.301576918584274</v>
      </c>
      <c r="Z562" s="53">
        <f>AD562</f>
        <v>98.301576918584274</v>
      </c>
      <c r="AA562" s="22">
        <v>42077990</v>
      </c>
      <c r="AB562" s="19">
        <f>AA562/K562*100</f>
        <v>98.301576918584274</v>
      </c>
      <c r="AC562" s="22">
        <f t="shared" ref="AC562:AC566" si="195">AA562</f>
        <v>42077990</v>
      </c>
      <c r="AD562" s="19">
        <f>AC562/K562*100</f>
        <v>98.301576918584274</v>
      </c>
    </row>
    <row r="563" spans="2:30">
      <c r="B563" s="48">
        <v>2</v>
      </c>
      <c r="C563" s="74" t="s">
        <v>210</v>
      </c>
      <c r="D563" s="74" t="s">
        <v>30</v>
      </c>
      <c r="E563" s="89"/>
      <c r="F563" s="204"/>
      <c r="G563" s="193"/>
      <c r="H563" s="89"/>
      <c r="I563" s="89"/>
      <c r="J563" s="15">
        <v>1800000</v>
      </c>
      <c r="K563" s="99">
        <v>0</v>
      </c>
      <c r="L563" s="13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53">
        <f t="shared" ref="Y563:Y565" si="196">AB563</f>
        <v>0</v>
      </c>
      <c r="Z563" s="53">
        <f t="shared" ref="Z563:Z565" si="197">AD563</f>
        <v>0</v>
      </c>
      <c r="AA563" s="22"/>
      <c r="AB563" s="19">
        <v>0</v>
      </c>
      <c r="AC563" s="22">
        <f t="shared" si="195"/>
        <v>0</v>
      </c>
      <c r="AD563" s="19">
        <v>0</v>
      </c>
    </row>
    <row r="564" spans="2:30">
      <c r="B564" s="48">
        <v>3</v>
      </c>
      <c r="C564" s="74" t="s">
        <v>204</v>
      </c>
      <c r="D564" s="74" t="s">
        <v>32</v>
      </c>
      <c r="E564" s="89"/>
      <c r="F564" s="204"/>
      <c r="G564" s="193"/>
      <c r="H564" s="89"/>
      <c r="I564" s="89"/>
      <c r="J564" s="15">
        <v>5000000</v>
      </c>
      <c r="K564" s="99">
        <v>5725000</v>
      </c>
      <c r="L564" s="13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53">
        <f t="shared" si="196"/>
        <v>100</v>
      </c>
      <c r="Z564" s="53">
        <f t="shared" si="197"/>
        <v>100</v>
      </c>
      <c r="AA564" s="22">
        <v>5725000</v>
      </c>
      <c r="AB564" s="19">
        <f t="shared" ref="AB564:AB566" si="198">AA564/K564*100</f>
        <v>100</v>
      </c>
      <c r="AC564" s="22">
        <f t="shared" si="195"/>
        <v>5725000</v>
      </c>
      <c r="AD564" s="19">
        <f t="shared" ref="AD564:AD566" si="199">AC564/K564*100</f>
        <v>100</v>
      </c>
    </row>
    <row r="565" spans="2:30">
      <c r="B565" s="48">
        <v>4</v>
      </c>
      <c r="C565" s="74" t="s">
        <v>205</v>
      </c>
      <c r="D565" s="74" t="s">
        <v>34</v>
      </c>
      <c r="E565" s="89"/>
      <c r="F565" s="204"/>
      <c r="G565" s="193"/>
      <c r="H565" s="89"/>
      <c r="I565" s="89"/>
      <c r="J565" s="15">
        <v>10320000</v>
      </c>
      <c r="K565" s="99">
        <v>14850000</v>
      </c>
      <c r="L565" s="13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53">
        <f t="shared" si="196"/>
        <v>94.612794612794616</v>
      </c>
      <c r="Z565" s="53">
        <f t="shared" si="197"/>
        <v>94.612794612794616</v>
      </c>
      <c r="AA565" s="22">
        <v>14050000</v>
      </c>
      <c r="AB565" s="19">
        <f t="shared" si="198"/>
        <v>94.612794612794616</v>
      </c>
      <c r="AC565" s="22">
        <f t="shared" si="195"/>
        <v>14050000</v>
      </c>
      <c r="AD565" s="19">
        <f t="shared" si="199"/>
        <v>94.612794612794616</v>
      </c>
    </row>
    <row r="566" spans="2:30">
      <c r="B566" s="48">
        <v>5</v>
      </c>
      <c r="C566" s="123" t="s">
        <v>2312</v>
      </c>
      <c r="D566" s="58" t="s">
        <v>2313</v>
      </c>
      <c r="E566" s="105"/>
      <c r="F566" s="347"/>
      <c r="G566" s="498"/>
      <c r="H566" s="105"/>
      <c r="I566" s="105"/>
      <c r="J566" s="598"/>
      <c r="K566" s="99">
        <v>200000000</v>
      </c>
      <c r="L566" s="47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3">
        <f t="shared" ref="Y566" si="200">AB566</f>
        <v>99.92</v>
      </c>
      <c r="Z566" s="53">
        <f t="shared" ref="Z566" si="201">AD566</f>
        <v>99.92</v>
      </c>
      <c r="AA566" s="112">
        <v>199840000</v>
      </c>
      <c r="AB566" s="19">
        <f t="shared" si="198"/>
        <v>99.92</v>
      </c>
      <c r="AC566" s="112">
        <f t="shared" si="195"/>
        <v>199840000</v>
      </c>
      <c r="AD566" s="19">
        <f t="shared" si="199"/>
        <v>99.92</v>
      </c>
    </row>
    <row r="567" spans="2:30" ht="18.75" customHeight="1">
      <c r="B567" s="341">
        <v>74</v>
      </c>
      <c r="C567" s="897" t="s">
        <v>1695</v>
      </c>
      <c r="D567" s="897"/>
      <c r="E567" s="508"/>
      <c r="F567" s="508">
        <v>4</v>
      </c>
      <c r="G567" s="499"/>
      <c r="H567" s="577"/>
      <c r="I567" s="499"/>
      <c r="J567" s="342">
        <f>SUM(J562:J565)</f>
        <v>57000000</v>
      </c>
      <c r="K567" s="342">
        <f>SUM(K561:K566)</f>
        <v>263380000</v>
      </c>
      <c r="L567" s="91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4">
        <f>SUM(Y562:Y565)/4</f>
        <v>73.228592882844723</v>
      </c>
      <c r="Z567" s="94">
        <f>SUM(Z562:Z565)/4</f>
        <v>73.228592882844723</v>
      </c>
      <c r="AA567" s="342">
        <f>SUM(AA562:AA566)</f>
        <v>261692990</v>
      </c>
      <c r="AB567" s="94">
        <f>SUM(AB562:AB565)/4</f>
        <v>73.228592882844723</v>
      </c>
      <c r="AC567" s="342">
        <f>SUM(AC562:AC566)</f>
        <v>261692990</v>
      </c>
      <c r="AD567" s="94">
        <f>SUM(AD562:AD565)/4</f>
        <v>73.228592882844723</v>
      </c>
    </row>
    <row r="568" spans="2:30">
      <c r="B568" s="66"/>
      <c r="C568" s="63" t="s">
        <v>1696</v>
      </c>
      <c r="D568" s="64" t="s">
        <v>1697</v>
      </c>
      <c r="E568" s="484"/>
      <c r="F568" s="484"/>
      <c r="G568" s="472"/>
      <c r="H568" s="242"/>
      <c r="I568" s="472"/>
      <c r="J568" s="65"/>
      <c r="K568" s="65"/>
      <c r="L568" s="66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2:30">
      <c r="B569" s="13">
        <v>1</v>
      </c>
      <c r="C569" s="74" t="s">
        <v>203</v>
      </c>
      <c r="D569" s="74" t="s">
        <v>28</v>
      </c>
      <c r="E569" s="204"/>
      <c r="F569" s="204"/>
      <c r="G569" s="193"/>
      <c r="H569" s="89"/>
      <c r="I569" s="193"/>
      <c r="J569" s="15">
        <v>52550000</v>
      </c>
      <c r="K569" s="99">
        <v>23830000</v>
      </c>
      <c r="L569" s="13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53">
        <f>AB569</f>
        <v>93.086445656735208</v>
      </c>
      <c r="Z569" s="53">
        <f>AD569</f>
        <v>93.086445656735208</v>
      </c>
      <c r="AA569" s="22">
        <f>8932500+9970000+2353500+390000+536500</f>
        <v>22182500</v>
      </c>
      <c r="AB569" s="19">
        <f>AA569/K569*100</f>
        <v>93.086445656735208</v>
      </c>
      <c r="AC569" s="22">
        <f>AA569</f>
        <v>22182500</v>
      </c>
      <c r="AD569" s="19">
        <f>AC569/K569*100</f>
        <v>93.086445656735208</v>
      </c>
    </row>
    <row r="570" spans="2:30">
      <c r="B570" s="48">
        <v>2</v>
      </c>
      <c r="C570" s="74" t="s">
        <v>210</v>
      </c>
      <c r="D570" s="74" t="s">
        <v>30</v>
      </c>
      <c r="E570" s="204"/>
      <c r="F570" s="204"/>
      <c r="G570" s="193"/>
      <c r="H570" s="89"/>
      <c r="I570" s="193"/>
      <c r="J570" s="15">
        <v>3000000</v>
      </c>
      <c r="K570" s="99">
        <v>3000000</v>
      </c>
      <c r="L570" s="13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53">
        <f>AB570</f>
        <v>49.166666666666664</v>
      </c>
      <c r="Z570" s="53">
        <f>AD570</f>
        <v>49.166666666666664</v>
      </c>
      <c r="AA570" s="22">
        <v>1475000</v>
      </c>
      <c r="AB570" s="19">
        <f t="shared" ref="AB570:AB572" si="202">AA570/K570*100</f>
        <v>49.166666666666664</v>
      </c>
      <c r="AC570" s="22">
        <f>AA570</f>
        <v>1475000</v>
      </c>
      <c r="AD570" s="19">
        <f t="shared" ref="AD570:AD572" si="203">AC570/K570*100</f>
        <v>49.166666666666664</v>
      </c>
    </row>
    <row r="571" spans="2:30">
      <c r="B571" s="369">
        <v>3</v>
      </c>
      <c r="C571" s="74" t="s">
        <v>204</v>
      </c>
      <c r="D571" s="74" t="s">
        <v>32</v>
      </c>
      <c r="E571" s="204"/>
      <c r="F571" s="204"/>
      <c r="G571" s="193"/>
      <c r="H571" s="89"/>
      <c r="I571" s="193"/>
      <c r="J571" s="15">
        <v>1950000</v>
      </c>
      <c r="K571" s="99">
        <v>0</v>
      </c>
      <c r="L571" s="13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53">
        <f>AB571</f>
        <v>0</v>
      </c>
      <c r="Z571" s="53">
        <f>AD571</f>
        <v>0</v>
      </c>
      <c r="AA571" s="22"/>
      <c r="AB571" s="19">
        <v>0</v>
      </c>
      <c r="AC571" s="22">
        <f>AA571</f>
        <v>0</v>
      </c>
      <c r="AD571" s="19">
        <v>0</v>
      </c>
    </row>
    <row r="572" spans="2:30">
      <c r="B572" s="45">
        <v>4</v>
      </c>
      <c r="C572" s="93" t="s">
        <v>205</v>
      </c>
      <c r="D572" s="93" t="s">
        <v>34</v>
      </c>
      <c r="E572" s="489"/>
      <c r="F572" s="489"/>
      <c r="G572" s="240"/>
      <c r="H572" s="186"/>
      <c r="I572" s="240"/>
      <c r="J572" s="15">
        <v>19500000</v>
      </c>
      <c r="K572" s="99">
        <v>56000000</v>
      </c>
      <c r="L572" s="45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55">
        <f>AB572</f>
        <v>97.5</v>
      </c>
      <c r="Z572" s="55">
        <f>AD572</f>
        <v>97.5</v>
      </c>
      <c r="AA572" s="73">
        <f>41900000+12700000</f>
        <v>54600000</v>
      </c>
      <c r="AB572" s="19">
        <f t="shared" si="202"/>
        <v>97.5</v>
      </c>
      <c r="AC572" s="73">
        <f>AA572</f>
        <v>54600000</v>
      </c>
      <c r="AD572" s="19">
        <f t="shared" si="203"/>
        <v>97.5</v>
      </c>
    </row>
    <row r="573" spans="2:30">
      <c r="B573" s="91">
        <v>75</v>
      </c>
      <c r="C573" s="897" t="s">
        <v>1698</v>
      </c>
      <c r="D573" s="897"/>
      <c r="E573" s="508"/>
      <c r="F573" s="508">
        <v>3</v>
      </c>
      <c r="G573" s="499"/>
      <c r="H573" s="577"/>
      <c r="I573" s="499"/>
      <c r="J573" s="342">
        <f>SUM(J569:J572)</f>
        <v>77000000</v>
      </c>
      <c r="K573" s="342">
        <f>SUM(K569:K572)</f>
        <v>82830000</v>
      </c>
      <c r="L573" s="91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4">
        <f>SUM(Y569:Y572)/3</f>
        <v>79.917704107800617</v>
      </c>
      <c r="Z573" s="94">
        <f>SUM(Z569:Z572)/3</f>
        <v>79.917704107800617</v>
      </c>
      <c r="AA573" s="94">
        <f>SUM(AA569:AA572)</f>
        <v>78257500</v>
      </c>
      <c r="AB573" s="94">
        <f>SUM(AB569:AB572)/3</f>
        <v>79.917704107800617</v>
      </c>
      <c r="AC573" s="94">
        <f>SUM(AC569:AC572)</f>
        <v>78257500</v>
      </c>
      <c r="AD573" s="94">
        <f>SUM(AD569:AD572)/3</f>
        <v>79.917704107800617</v>
      </c>
    </row>
    <row r="574" spans="2:30">
      <c r="B574" s="66"/>
      <c r="C574" s="63" t="s">
        <v>1699</v>
      </c>
      <c r="D574" s="64" t="s">
        <v>1700</v>
      </c>
      <c r="E574" s="484"/>
      <c r="F574" s="484"/>
      <c r="G574" s="472"/>
      <c r="H574" s="242"/>
      <c r="I574" s="472"/>
      <c r="J574" s="65"/>
      <c r="K574" s="65"/>
      <c r="L574" s="66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2:30">
      <c r="B575" s="13">
        <v>1</v>
      </c>
      <c r="C575" s="74" t="s">
        <v>203</v>
      </c>
      <c r="D575" s="74" t="s">
        <v>28</v>
      </c>
      <c r="E575" s="204"/>
      <c r="F575" s="204"/>
      <c r="G575" s="193"/>
      <c r="H575" s="89"/>
      <c r="I575" s="193"/>
      <c r="J575" s="15">
        <v>66035000</v>
      </c>
      <c r="K575" s="99">
        <v>72415000</v>
      </c>
      <c r="L575" s="13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53">
        <f t="shared" ref="Y575:Y580" si="204">AB575</f>
        <v>92.18056203825175</v>
      </c>
      <c r="Z575" s="53">
        <f t="shared" ref="Z575:Z580" si="205">AD575</f>
        <v>92.18056203825175</v>
      </c>
      <c r="AA575" s="22">
        <f>28698500+15044054+1725000+5990000+4775000+10520000</f>
        <v>66752554</v>
      </c>
      <c r="AB575" s="22">
        <f>AA575/K575*100</f>
        <v>92.18056203825175</v>
      </c>
      <c r="AC575" s="22">
        <f t="shared" ref="AC575:AC580" si="206">AA575</f>
        <v>66752554</v>
      </c>
      <c r="AD575" s="19">
        <f>AC575/K575*100</f>
        <v>92.18056203825175</v>
      </c>
    </row>
    <row r="576" spans="2:30">
      <c r="B576" s="48">
        <v>2</v>
      </c>
      <c r="C576" s="74" t="s">
        <v>210</v>
      </c>
      <c r="D576" s="74" t="s">
        <v>30</v>
      </c>
      <c r="E576" s="204"/>
      <c r="F576" s="204"/>
      <c r="G576" s="193"/>
      <c r="H576" s="89"/>
      <c r="I576" s="193"/>
      <c r="J576" s="15">
        <v>5990000</v>
      </c>
      <c r="K576" s="99">
        <v>5990000</v>
      </c>
      <c r="L576" s="13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53">
        <f t="shared" si="204"/>
        <v>0</v>
      </c>
      <c r="Z576" s="53">
        <f t="shared" si="205"/>
        <v>0</v>
      </c>
      <c r="AA576" s="22">
        <v>0</v>
      </c>
      <c r="AB576" s="22">
        <f t="shared" ref="AB576:AB580" si="207">AA576/K576*100</f>
        <v>0</v>
      </c>
      <c r="AC576" s="22">
        <f t="shared" si="206"/>
        <v>0</v>
      </c>
      <c r="AD576" s="19">
        <f t="shared" ref="AD576:AD580" si="208">AC576/K576*100</f>
        <v>0</v>
      </c>
    </row>
    <row r="577" spans="2:30">
      <c r="B577" s="13">
        <v>3</v>
      </c>
      <c r="C577" s="74" t="s">
        <v>204</v>
      </c>
      <c r="D577" s="74" t="s">
        <v>32</v>
      </c>
      <c r="E577" s="204"/>
      <c r="F577" s="204"/>
      <c r="G577" s="193"/>
      <c r="H577" s="89"/>
      <c r="I577" s="193"/>
      <c r="J577" s="15">
        <v>4975000</v>
      </c>
      <c r="K577" s="99">
        <v>4975000</v>
      </c>
      <c r="L577" s="13"/>
      <c r="M577" s="17" t="s">
        <v>1</v>
      </c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53">
        <f t="shared" si="204"/>
        <v>0</v>
      </c>
      <c r="Z577" s="53">
        <f t="shared" si="205"/>
        <v>0</v>
      </c>
      <c r="AA577" s="22">
        <v>0</v>
      </c>
      <c r="AB577" s="22">
        <f t="shared" si="207"/>
        <v>0</v>
      </c>
      <c r="AC577" s="22">
        <f t="shared" si="206"/>
        <v>0</v>
      </c>
      <c r="AD577" s="19">
        <f t="shared" si="208"/>
        <v>0</v>
      </c>
    </row>
    <row r="578" spans="2:30">
      <c r="B578" s="13">
        <v>4</v>
      </c>
      <c r="C578" s="123" t="s">
        <v>1204</v>
      </c>
      <c r="D578" s="58" t="s">
        <v>1737</v>
      </c>
      <c r="E578" s="204"/>
      <c r="F578" s="204"/>
      <c r="G578" s="193"/>
      <c r="H578" s="89"/>
      <c r="I578" s="193"/>
      <c r="J578" s="15"/>
      <c r="K578" s="99">
        <v>40920000</v>
      </c>
      <c r="L578" s="13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53">
        <f t="shared" si="204"/>
        <v>99.948680351906162</v>
      </c>
      <c r="Z578" s="53">
        <f t="shared" si="205"/>
        <v>99.948680351906162</v>
      </c>
      <c r="AA578" s="22">
        <f>817650+66000+3777350+81000+936000+6919000+720000+20100000+7482000</f>
        <v>40899000</v>
      </c>
      <c r="AB578" s="22">
        <f t="shared" si="207"/>
        <v>99.948680351906162</v>
      </c>
      <c r="AC578" s="22">
        <f t="shared" si="206"/>
        <v>40899000</v>
      </c>
      <c r="AD578" s="19">
        <f t="shared" si="208"/>
        <v>99.948680351906162</v>
      </c>
    </row>
    <row r="579" spans="2:30">
      <c r="B579" s="13">
        <v>5</v>
      </c>
      <c r="C579" s="81">
        <v>17.061</v>
      </c>
      <c r="D579" s="21" t="s">
        <v>1701</v>
      </c>
      <c r="E579" s="204"/>
      <c r="F579" s="204"/>
      <c r="G579" s="193"/>
      <c r="H579" s="89"/>
      <c r="I579" s="193"/>
      <c r="J579" s="15">
        <v>200000000</v>
      </c>
      <c r="K579" s="99">
        <v>200000000</v>
      </c>
      <c r="L579" s="13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53">
        <f t="shared" si="204"/>
        <v>99.63</v>
      </c>
      <c r="Z579" s="53">
        <f t="shared" si="205"/>
        <v>99.63</v>
      </c>
      <c r="AA579" s="22">
        <f>4800000+2660000+191800000</f>
        <v>199260000</v>
      </c>
      <c r="AB579" s="22">
        <f t="shared" si="207"/>
        <v>99.63</v>
      </c>
      <c r="AC579" s="22">
        <f t="shared" si="206"/>
        <v>199260000</v>
      </c>
      <c r="AD579" s="19">
        <f t="shared" si="208"/>
        <v>99.63</v>
      </c>
    </row>
    <row r="580" spans="2:30" ht="25.5">
      <c r="B580" s="13">
        <v>6</v>
      </c>
      <c r="C580" s="116">
        <v>17.062000000000001</v>
      </c>
      <c r="D580" s="21" t="s">
        <v>1702</v>
      </c>
      <c r="E580" s="489"/>
      <c r="F580" s="489"/>
      <c r="G580" s="240"/>
      <c r="H580" s="186"/>
      <c r="I580" s="240"/>
      <c r="J580" s="15">
        <v>500000000</v>
      </c>
      <c r="K580" s="99">
        <v>500000000</v>
      </c>
      <c r="L580" s="45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55">
        <f t="shared" si="204"/>
        <v>100</v>
      </c>
      <c r="Z580" s="55">
        <f t="shared" si="205"/>
        <v>100</v>
      </c>
      <c r="AA580" s="73">
        <f>1200000+34000000+11700000+102000000+2400000+101900000+130800000+116000000</f>
        <v>500000000</v>
      </c>
      <c r="AB580" s="22">
        <f t="shared" si="207"/>
        <v>100</v>
      </c>
      <c r="AC580" s="73">
        <f t="shared" si="206"/>
        <v>500000000</v>
      </c>
      <c r="AD580" s="19">
        <f t="shared" si="208"/>
        <v>100</v>
      </c>
    </row>
    <row r="581" spans="2:30">
      <c r="B581" s="341">
        <v>76</v>
      </c>
      <c r="C581" s="897" t="s">
        <v>1703</v>
      </c>
      <c r="D581" s="897"/>
      <c r="E581" s="508"/>
      <c r="F581" s="508">
        <v>6</v>
      </c>
      <c r="G581" s="499"/>
      <c r="H581" s="577"/>
      <c r="I581" s="499"/>
      <c r="J581" s="342">
        <f>SUM(J575:J580)</f>
        <v>777000000</v>
      </c>
      <c r="K581" s="342">
        <f>SUM(K575:K580)</f>
        <v>824300000</v>
      </c>
      <c r="L581" s="91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4">
        <f>SUM(Y575:Y580)/6</f>
        <v>65.293207065026323</v>
      </c>
      <c r="Z581" s="94">
        <f>SUM(Z575:Z580)/6</f>
        <v>65.293207065026323</v>
      </c>
      <c r="AA581" s="342">
        <f>SUM(AA575:AA580)</f>
        <v>806911554</v>
      </c>
      <c r="AB581" s="94">
        <f>SUM(AB575:AB580)/6</f>
        <v>65.293207065026323</v>
      </c>
      <c r="AC581" s="342">
        <f>SUM(AC575:AC580)</f>
        <v>806911554</v>
      </c>
      <c r="AD581" s="94">
        <f>SUM(AD575:AD580)/6</f>
        <v>65.293207065026323</v>
      </c>
    </row>
    <row r="582" spans="2:30">
      <c r="B582" s="66"/>
      <c r="C582" s="63" t="s">
        <v>1704</v>
      </c>
      <c r="D582" s="64" t="s">
        <v>1705</v>
      </c>
      <c r="E582" s="484"/>
      <c r="F582" s="484"/>
      <c r="G582" s="472"/>
      <c r="H582" s="242"/>
      <c r="I582" s="472"/>
      <c r="J582" s="65"/>
      <c r="K582" s="65"/>
      <c r="L582" s="66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2:30">
      <c r="B583" s="13">
        <v>1</v>
      </c>
      <c r="C583" s="74" t="s">
        <v>203</v>
      </c>
      <c r="D583" s="74" t="s">
        <v>28</v>
      </c>
      <c r="E583" s="204"/>
      <c r="F583" s="204"/>
      <c r="G583" s="193"/>
      <c r="H583" s="89"/>
      <c r="I583" s="193"/>
      <c r="J583" s="15">
        <v>44500000</v>
      </c>
      <c r="K583" s="99">
        <v>47605000</v>
      </c>
      <c r="L583" s="13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53">
        <f>AB583</f>
        <v>96.604329377166266</v>
      </c>
      <c r="Z583" s="53">
        <f>AD583</f>
        <v>96.604329377166266</v>
      </c>
      <c r="AA583" s="22">
        <f>10543100+9555636+9839755+3920000+12130000</f>
        <v>45988491</v>
      </c>
      <c r="AB583" s="19">
        <f>AA583/K583*100</f>
        <v>96.604329377166266</v>
      </c>
      <c r="AC583" s="53">
        <f>AA583</f>
        <v>45988491</v>
      </c>
      <c r="AD583" s="19">
        <f>AC583/K583*100</f>
        <v>96.604329377166266</v>
      </c>
    </row>
    <row r="584" spans="2:30">
      <c r="B584" s="48">
        <v>2</v>
      </c>
      <c r="C584" s="74" t="s">
        <v>210</v>
      </c>
      <c r="D584" s="74" t="s">
        <v>30</v>
      </c>
      <c r="E584" s="204"/>
      <c r="F584" s="204"/>
      <c r="G584" s="193"/>
      <c r="H584" s="89"/>
      <c r="I584" s="193"/>
      <c r="J584" s="15">
        <v>2000000</v>
      </c>
      <c r="K584" s="99">
        <v>2000000</v>
      </c>
      <c r="L584" s="13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53">
        <f>AB584</f>
        <v>100</v>
      </c>
      <c r="Z584" s="53">
        <f>AD584</f>
        <v>100</v>
      </c>
      <c r="AA584" s="22">
        <v>2000000</v>
      </c>
      <c r="AB584" s="19">
        <f t="shared" ref="AB584:AB587" si="209">AA584/K584*100</f>
        <v>100</v>
      </c>
      <c r="AC584" s="53">
        <f>AA584</f>
        <v>2000000</v>
      </c>
      <c r="AD584" s="19">
        <f t="shared" ref="AD584:AD587" si="210">AC584/K584*100</f>
        <v>100</v>
      </c>
    </row>
    <row r="585" spans="2:30">
      <c r="B585" s="13">
        <v>3</v>
      </c>
      <c r="C585" s="74" t="s">
        <v>204</v>
      </c>
      <c r="D585" s="74" t="s">
        <v>32</v>
      </c>
      <c r="E585" s="204"/>
      <c r="F585" s="204"/>
      <c r="G585" s="193"/>
      <c r="H585" s="89"/>
      <c r="I585" s="193"/>
      <c r="J585" s="15">
        <v>3000000</v>
      </c>
      <c r="K585" s="99">
        <v>3500000</v>
      </c>
      <c r="L585" s="13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53">
        <f>AB585</f>
        <v>100</v>
      </c>
      <c r="Z585" s="53">
        <f>AD585</f>
        <v>100</v>
      </c>
      <c r="AA585" s="22">
        <v>3500000</v>
      </c>
      <c r="AB585" s="19">
        <f t="shared" si="209"/>
        <v>100</v>
      </c>
      <c r="AC585" s="53">
        <f>AA585</f>
        <v>3500000</v>
      </c>
      <c r="AD585" s="19">
        <f t="shared" si="210"/>
        <v>100</v>
      </c>
    </row>
    <row r="586" spans="2:30">
      <c r="B586" s="45">
        <v>4</v>
      </c>
      <c r="C586" s="93" t="s">
        <v>205</v>
      </c>
      <c r="D586" s="93" t="s">
        <v>34</v>
      </c>
      <c r="E586" s="489"/>
      <c r="F586" s="489"/>
      <c r="G586" s="240"/>
      <c r="H586" s="186"/>
      <c r="I586" s="240"/>
      <c r="J586" s="15">
        <v>7500000</v>
      </c>
      <c r="K586" s="99">
        <v>8900000</v>
      </c>
      <c r="L586" s="45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55">
        <f>AB586</f>
        <v>99.719101123595507</v>
      </c>
      <c r="Z586" s="55">
        <f>AD586</f>
        <v>99.719101123595507</v>
      </c>
      <c r="AA586" s="73">
        <f>975000+1400000+6500000</f>
        <v>8875000</v>
      </c>
      <c r="AB586" s="19">
        <f t="shared" si="209"/>
        <v>99.719101123595507</v>
      </c>
      <c r="AC586" s="55">
        <f>AA586</f>
        <v>8875000</v>
      </c>
      <c r="AD586" s="19">
        <f t="shared" si="210"/>
        <v>99.719101123595507</v>
      </c>
    </row>
    <row r="587" spans="2:30">
      <c r="B587" s="32">
        <v>5</v>
      </c>
      <c r="C587" s="346">
        <v>16.61</v>
      </c>
      <c r="D587" s="21" t="s">
        <v>1706</v>
      </c>
      <c r="E587" s="507"/>
      <c r="F587" s="489"/>
      <c r="G587" s="240"/>
      <c r="H587" s="186"/>
      <c r="I587" s="240"/>
      <c r="J587" s="15">
        <v>137850000</v>
      </c>
      <c r="K587" s="99">
        <v>290950000</v>
      </c>
      <c r="L587" s="32"/>
      <c r="M587" s="33"/>
      <c r="N587" s="33"/>
      <c r="O587" s="33"/>
      <c r="P587" s="33"/>
      <c r="Q587" s="33"/>
      <c r="R587" s="44"/>
      <c r="S587" s="44"/>
      <c r="T587" s="44"/>
      <c r="U587" s="44"/>
      <c r="V587" s="44"/>
      <c r="W587" s="44"/>
      <c r="X587" s="44"/>
      <c r="Y587" s="55">
        <f>AB587</f>
        <v>99.943289224952736</v>
      </c>
      <c r="Z587" s="55">
        <f>AD587</f>
        <v>99.943289224952736</v>
      </c>
      <c r="AA587" s="73">
        <v>290785000</v>
      </c>
      <c r="AB587" s="19">
        <f t="shared" si="209"/>
        <v>99.943289224952736</v>
      </c>
      <c r="AC587" s="55">
        <f>AA587</f>
        <v>290785000</v>
      </c>
      <c r="AD587" s="19">
        <f t="shared" si="210"/>
        <v>99.943289224952736</v>
      </c>
    </row>
    <row r="588" spans="2:30">
      <c r="B588" s="341">
        <v>77</v>
      </c>
      <c r="C588" s="897" t="s">
        <v>1707</v>
      </c>
      <c r="D588" s="897"/>
      <c r="E588" s="508"/>
      <c r="F588" s="508">
        <v>5</v>
      </c>
      <c r="G588" s="499"/>
      <c r="H588" s="577"/>
      <c r="I588" s="499"/>
      <c r="J588" s="342">
        <f>SUM(J583:J587)</f>
        <v>194850000</v>
      </c>
      <c r="K588" s="342">
        <f>SUM(K583:K587)</f>
        <v>352955000</v>
      </c>
      <c r="L588" s="91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4">
        <f>SUM(Y583:Y587)/5</f>
        <v>99.253343945142916</v>
      </c>
      <c r="Z588" s="94">
        <f>SUM(Z583:Z587)/5</f>
        <v>99.253343945142916</v>
      </c>
      <c r="AA588" s="342">
        <f>SUM(AA583:AA587)</f>
        <v>351148491</v>
      </c>
      <c r="AB588" s="94">
        <f>SUM(AB583:AB587)/5</f>
        <v>99.253343945142916</v>
      </c>
      <c r="AC588" s="342">
        <f>SUM(AC583:AC587)</f>
        <v>351148491</v>
      </c>
      <c r="AD588" s="94">
        <f>SUM(AD583:AD587)/5</f>
        <v>99.253343945142916</v>
      </c>
    </row>
    <row r="589" spans="2:30">
      <c r="B589" s="66"/>
      <c r="C589" s="63" t="s">
        <v>1708</v>
      </c>
      <c r="D589" s="64" t="s">
        <v>1709</v>
      </c>
      <c r="E589" s="484"/>
      <c r="F589" s="484"/>
      <c r="G589" s="472"/>
      <c r="H589" s="242"/>
      <c r="I589" s="472"/>
      <c r="J589" s="65"/>
      <c r="K589" s="65"/>
      <c r="L589" s="66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2:30">
      <c r="B590" s="57">
        <v>1</v>
      </c>
      <c r="C590" s="74" t="s">
        <v>203</v>
      </c>
      <c r="D590" s="74" t="s">
        <v>28</v>
      </c>
      <c r="E590" s="204"/>
      <c r="F590" s="204"/>
      <c r="G590" s="193"/>
      <c r="H590" s="89"/>
      <c r="I590" s="193"/>
      <c r="J590" s="15">
        <v>41842000</v>
      </c>
      <c r="K590" s="99">
        <v>45116000</v>
      </c>
      <c r="L590" s="13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53">
        <f>AB590</f>
        <v>94.65705293022431</v>
      </c>
      <c r="Z590" s="53">
        <f>AD590</f>
        <v>94.65705293022431</v>
      </c>
      <c r="AA590" s="22">
        <f>2630250+1479000+135000+881059+260000+5122472+6253095+1497600+3812000+2925000+9970000+7740000</f>
        <v>42705476</v>
      </c>
      <c r="AB590" s="19">
        <f>AA590/K590*100</f>
        <v>94.65705293022431</v>
      </c>
      <c r="AC590" s="53">
        <f>AA590</f>
        <v>42705476</v>
      </c>
      <c r="AD590" s="19">
        <f>AC590/K590*100</f>
        <v>94.65705293022431</v>
      </c>
    </row>
    <row r="591" spans="2:30">
      <c r="B591" s="13">
        <v>2</v>
      </c>
      <c r="C591" s="74" t="s">
        <v>210</v>
      </c>
      <c r="D591" s="74" t="s">
        <v>30</v>
      </c>
      <c r="E591" s="204"/>
      <c r="F591" s="204"/>
      <c r="G591" s="193"/>
      <c r="H591" s="89"/>
      <c r="I591" s="193"/>
      <c r="J591" s="15">
        <v>6150000</v>
      </c>
      <c r="K591" s="99">
        <v>6150000</v>
      </c>
      <c r="L591" s="13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53">
        <f>AB591</f>
        <v>99.268292682926827</v>
      </c>
      <c r="Z591" s="53">
        <f>AD591</f>
        <v>99.268292682926827</v>
      </c>
      <c r="AA591" s="22">
        <v>6105000</v>
      </c>
      <c r="AB591" s="19">
        <f t="shared" ref="AB591:AB593" si="211">AA591/K591*100</f>
        <v>99.268292682926827</v>
      </c>
      <c r="AC591" s="53">
        <f>AA591</f>
        <v>6105000</v>
      </c>
      <c r="AD591" s="19">
        <f t="shared" ref="AD591:AD593" si="212">AC591/K591*100</f>
        <v>99.268292682926827</v>
      </c>
    </row>
    <row r="592" spans="2:30">
      <c r="B592" s="13">
        <v>3</v>
      </c>
      <c r="C592" s="74" t="s">
        <v>204</v>
      </c>
      <c r="D592" s="74" t="s">
        <v>32</v>
      </c>
      <c r="E592" s="204"/>
      <c r="F592" s="204"/>
      <c r="G592" s="193"/>
      <c r="H592" s="89"/>
      <c r="I592" s="193"/>
      <c r="J592" s="15">
        <v>7508000</v>
      </c>
      <c r="K592" s="99">
        <v>10014000</v>
      </c>
      <c r="L592" s="13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53">
        <f>AB592</f>
        <v>99.900139804274019</v>
      </c>
      <c r="Z592" s="53">
        <f>AD592</f>
        <v>99.900139804274019</v>
      </c>
      <c r="AA592" s="22">
        <f>9554000+450000</f>
        <v>10004000</v>
      </c>
      <c r="AB592" s="19">
        <f t="shared" si="211"/>
        <v>99.900139804274019</v>
      </c>
      <c r="AC592" s="53">
        <f>AA592</f>
        <v>10004000</v>
      </c>
      <c r="AD592" s="19">
        <f t="shared" si="212"/>
        <v>99.900139804274019</v>
      </c>
    </row>
    <row r="593" spans="2:30" ht="18" customHeight="1">
      <c r="B593" s="45">
        <f>B592+1</f>
        <v>4</v>
      </c>
      <c r="C593" s="93" t="s">
        <v>205</v>
      </c>
      <c r="D593" s="93" t="s">
        <v>34</v>
      </c>
      <c r="E593" s="489"/>
      <c r="F593" s="489"/>
      <c r="G593" s="240"/>
      <c r="H593" s="186"/>
      <c r="I593" s="240"/>
      <c r="J593" s="15">
        <v>1500000</v>
      </c>
      <c r="K593" s="99">
        <v>1550000</v>
      </c>
      <c r="L593" s="45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55">
        <f>AB593</f>
        <v>96.774193548387103</v>
      </c>
      <c r="Z593" s="55">
        <f>AD593</f>
        <v>96.774193548387103</v>
      </c>
      <c r="AA593" s="73">
        <v>1500000</v>
      </c>
      <c r="AB593" s="19">
        <f t="shared" si="211"/>
        <v>96.774193548387103</v>
      </c>
      <c r="AC593" s="55">
        <f>AA593</f>
        <v>1500000</v>
      </c>
      <c r="AD593" s="19">
        <f t="shared" si="212"/>
        <v>96.774193548387103</v>
      </c>
    </row>
    <row r="594" spans="2:30" ht="18.75" customHeight="1">
      <c r="B594" s="27">
        <v>78</v>
      </c>
      <c r="C594" s="900" t="s">
        <v>1710</v>
      </c>
      <c r="D594" s="900"/>
      <c r="E594" s="483"/>
      <c r="F594" s="483">
        <v>4</v>
      </c>
      <c r="G594" s="468"/>
      <c r="H594" s="526"/>
      <c r="I594" s="468"/>
      <c r="J594" s="35">
        <f>SUM(J590:J593)</f>
        <v>57000000</v>
      </c>
      <c r="K594" s="35">
        <f>SUM(K590:K593)</f>
        <v>62830000</v>
      </c>
      <c r="L594" s="37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20">
        <f>SUM(Y590:Y593)/4</f>
        <v>97.649919741453061</v>
      </c>
      <c r="Z594" s="320">
        <f>SUM(Z590:Z593)/4</f>
        <v>97.649919741453061</v>
      </c>
      <c r="AA594" s="320">
        <f>SUM(AA590:AA593)</f>
        <v>60314476</v>
      </c>
      <c r="AB594" s="320">
        <f>SUM(AB590:AB593)/4</f>
        <v>97.649919741453061</v>
      </c>
      <c r="AC594" s="320">
        <f>SUM(AC590:AC593)</f>
        <v>60314476</v>
      </c>
      <c r="AD594" s="320">
        <f>SUM(AD590:AD593)/4</f>
        <v>97.649919741453061</v>
      </c>
    </row>
    <row r="595" spans="2:30">
      <c r="B595" s="62"/>
      <c r="C595" s="63" t="s">
        <v>1711</v>
      </c>
      <c r="D595" s="64" t="s">
        <v>1712</v>
      </c>
      <c r="E595" s="484"/>
      <c r="F595" s="484"/>
      <c r="G595" s="472"/>
      <c r="H595" s="242"/>
      <c r="I595" s="472"/>
      <c r="J595" s="65"/>
      <c r="K595" s="65"/>
      <c r="L595" s="66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2:30">
      <c r="B596" s="13">
        <v>1</v>
      </c>
      <c r="C596" s="74" t="s">
        <v>203</v>
      </c>
      <c r="D596" s="74" t="s">
        <v>28</v>
      </c>
      <c r="E596" s="204"/>
      <c r="F596" s="204"/>
      <c r="G596" s="193"/>
      <c r="H596" s="89"/>
      <c r="I596" s="193"/>
      <c r="J596" s="15">
        <v>29835500</v>
      </c>
      <c r="K596" s="99">
        <v>37105000</v>
      </c>
      <c r="L596" s="13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53">
        <f>AB596</f>
        <v>99.774308044737907</v>
      </c>
      <c r="Z596" s="53">
        <f>AD596</f>
        <v>99.774308044737907</v>
      </c>
      <c r="AA596" s="22">
        <v>37021257</v>
      </c>
      <c r="AB596" s="19">
        <f>AA596/K596*100</f>
        <v>99.774308044737907</v>
      </c>
      <c r="AC596" s="53">
        <f>AA596</f>
        <v>37021257</v>
      </c>
      <c r="AD596" s="19">
        <f>AC596/K596*100</f>
        <v>99.774308044737907</v>
      </c>
    </row>
    <row r="597" spans="2:30" ht="16.5" customHeight="1">
      <c r="B597" s="13">
        <v>2</v>
      </c>
      <c r="C597" s="74" t="s">
        <v>210</v>
      </c>
      <c r="D597" s="74" t="s">
        <v>30</v>
      </c>
      <c r="E597" s="204"/>
      <c r="F597" s="204"/>
      <c r="G597" s="193"/>
      <c r="H597" s="89"/>
      <c r="I597" s="193"/>
      <c r="J597" s="15">
        <v>2000000</v>
      </c>
      <c r="K597" s="99">
        <v>2000000</v>
      </c>
      <c r="L597" s="13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53">
        <f>AB597</f>
        <v>100</v>
      </c>
      <c r="Z597" s="53">
        <f>AD597</f>
        <v>100</v>
      </c>
      <c r="AA597" s="22">
        <v>2000000</v>
      </c>
      <c r="AB597" s="19">
        <f t="shared" ref="AB597:AB599" si="213">AA597/K597*100</f>
        <v>100</v>
      </c>
      <c r="AC597" s="53">
        <f>AA597</f>
        <v>2000000</v>
      </c>
      <c r="AD597" s="19">
        <f t="shared" ref="AD597:AD599" si="214">AC597/K597*100</f>
        <v>100</v>
      </c>
    </row>
    <row r="598" spans="2:30">
      <c r="B598" s="13">
        <f>B597+1</f>
        <v>3</v>
      </c>
      <c r="C598" s="74" t="s">
        <v>204</v>
      </c>
      <c r="D598" s="74" t="s">
        <v>32</v>
      </c>
      <c r="E598" s="204"/>
      <c r="F598" s="204"/>
      <c r="G598" s="193"/>
      <c r="H598" s="89"/>
      <c r="I598" s="193"/>
      <c r="J598" s="15">
        <v>9575000</v>
      </c>
      <c r="K598" s="99">
        <v>119575000</v>
      </c>
      <c r="L598" s="13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53">
        <f>AB598</f>
        <v>100</v>
      </c>
      <c r="Z598" s="53">
        <f>AD598</f>
        <v>100</v>
      </c>
      <c r="AA598" s="22">
        <v>119575000</v>
      </c>
      <c r="AB598" s="19">
        <f t="shared" si="213"/>
        <v>100</v>
      </c>
      <c r="AC598" s="53">
        <f>AA598</f>
        <v>119575000</v>
      </c>
      <c r="AD598" s="19">
        <f t="shared" si="214"/>
        <v>100</v>
      </c>
    </row>
    <row r="599" spans="2:30">
      <c r="B599" s="13">
        <f>B598+1</f>
        <v>4</v>
      </c>
      <c r="C599" s="74" t="s">
        <v>205</v>
      </c>
      <c r="D599" s="74" t="s">
        <v>34</v>
      </c>
      <c r="E599" s="204"/>
      <c r="F599" s="204"/>
      <c r="G599" s="193"/>
      <c r="H599" s="89"/>
      <c r="I599" s="193"/>
      <c r="J599" s="15">
        <v>15589500</v>
      </c>
      <c r="K599" s="99">
        <v>14700000</v>
      </c>
      <c r="L599" s="13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53">
        <f>AB599</f>
        <v>100</v>
      </c>
      <c r="Z599" s="53">
        <f>AD599</f>
        <v>100</v>
      </c>
      <c r="AA599" s="22">
        <v>14700000</v>
      </c>
      <c r="AB599" s="19">
        <f t="shared" si="213"/>
        <v>100</v>
      </c>
      <c r="AC599" s="53">
        <f>AA599</f>
        <v>14700000</v>
      </c>
      <c r="AD599" s="19">
        <f t="shared" si="214"/>
        <v>100</v>
      </c>
    </row>
    <row r="600" spans="2:30">
      <c r="B600" s="27">
        <v>79</v>
      </c>
      <c r="C600" s="900" t="s">
        <v>1713</v>
      </c>
      <c r="D600" s="900"/>
      <c r="E600" s="483"/>
      <c r="F600" s="483">
        <v>4</v>
      </c>
      <c r="G600" s="468"/>
      <c r="H600" s="526"/>
      <c r="I600" s="468"/>
      <c r="J600" s="35">
        <f>SUM(J596:J599)</f>
        <v>57000000</v>
      </c>
      <c r="K600" s="35">
        <f>SUM(K596:K599)</f>
        <v>173380000</v>
      </c>
      <c r="L600" s="37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5">
        <f>SUM(Y596:Y599)/4</f>
        <v>99.943577011184473</v>
      </c>
      <c r="Z600" s="35">
        <f>SUM(Z596:Z599)/4</f>
        <v>99.943577011184473</v>
      </c>
      <c r="AA600" s="35">
        <f>SUM(AA596:AA599)</f>
        <v>173296257</v>
      </c>
      <c r="AB600" s="35">
        <f>SUM(AB596:AB599)/4</f>
        <v>99.943577011184473</v>
      </c>
      <c r="AC600" s="35">
        <f>SUM(AC596:AC599)</f>
        <v>173296257</v>
      </c>
      <c r="AD600" s="35">
        <f>SUM(AD596:AD599)/4</f>
        <v>99.943577011184473</v>
      </c>
    </row>
    <row r="601" spans="2:30">
      <c r="B601" s="62"/>
      <c r="C601" s="63" t="s">
        <v>1714</v>
      </c>
      <c r="D601" s="64" t="s">
        <v>1715</v>
      </c>
      <c r="E601" s="484"/>
      <c r="F601" s="484"/>
      <c r="G601" s="472"/>
      <c r="H601" s="242"/>
      <c r="I601" s="472"/>
      <c r="J601" s="65"/>
      <c r="K601" s="65"/>
      <c r="L601" s="66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2:30">
      <c r="B602" s="13">
        <v>1</v>
      </c>
      <c r="C602" s="74" t="s">
        <v>203</v>
      </c>
      <c r="D602" s="21" t="s">
        <v>28</v>
      </c>
      <c r="E602" s="204"/>
      <c r="F602" s="204"/>
      <c r="G602" s="193"/>
      <c r="H602" s="89"/>
      <c r="I602" s="193"/>
      <c r="J602" s="15">
        <v>33367000</v>
      </c>
      <c r="K602" s="99">
        <v>39747000</v>
      </c>
      <c r="L602" s="13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53">
        <f>AB602</f>
        <v>77.892369235413994</v>
      </c>
      <c r="Z602" s="53">
        <f>AD602</f>
        <v>77.892369235413994</v>
      </c>
      <c r="AA602" s="22">
        <f>2160000+10520000+2241000+48000+1150000+720000+1897320+12223560</f>
        <v>30959880</v>
      </c>
      <c r="AB602" s="19">
        <f>AA602/K602*100</f>
        <v>77.892369235413994</v>
      </c>
      <c r="AC602" s="22">
        <f>AA602</f>
        <v>30959880</v>
      </c>
      <c r="AD602" s="19">
        <f>AC602/K602*100</f>
        <v>77.892369235413994</v>
      </c>
    </row>
    <row r="603" spans="2:30">
      <c r="B603" s="13">
        <v>2</v>
      </c>
      <c r="C603" s="74" t="s">
        <v>210</v>
      </c>
      <c r="D603" s="21" t="s">
        <v>30</v>
      </c>
      <c r="E603" s="204"/>
      <c r="F603" s="204"/>
      <c r="G603" s="193"/>
      <c r="H603" s="89"/>
      <c r="I603" s="193"/>
      <c r="J603" s="15">
        <v>3080000</v>
      </c>
      <c r="K603" s="99">
        <v>3080000</v>
      </c>
      <c r="L603" s="13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53">
        <f>AB603</f>
        <v>97.402597402597408</v>
      </c>
      <c r="Z603" s="53">
        <f>AD603</f>
        <v>97.402597402597408</v>
      </c>
      <c r="AA603" s="22">
        <f>3000000</f>
        <v>3000000</v>
      </c>
      <c r="AB603" s="19">
        <f t="shared" ref="AB603:AB605" si="215">AA603/K603*100</f>
        <v>97.402597402597408</v>
      </c>
      <c r="AC603" s="22">
        <f>AA603</f>
        <v>3000000</v>
      </c>
      <c r="AD603" s="19">
        <f t="shared" ref="AD603:AD605" si="216">AC603/K603*100</f>
        <v>97.402597402597408</v>
      </c>
    </row>
    <row r="604" spans="2:30">
      <c r="B604" s="45">
        <v>3</v>
      </c>
      <c r="C604" s="74" t="s">
        <v>204</v>
      </c>
      <c r="D604" s="21" t="s">
        <v>32</v>
      </c>
      <c r="E604" s="489"/>
      <c r="F604" s="489"/>
      <c r="G604" s="240"/>
      <c r="H604" s="186"/>
      <c r="I604" s="240"/>
      <c r="J604" s="15">
        <v>9953000</v>
      </c>
      <c r="K604" s="99">
        <v>9953000</v>
      </c>
      <c r="L604" s="45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53">
        <f>AB604</f>
        <v>100</v>
      </c>
      <c r="Z604" s="53">
        <f>AD604</f>
        <v>100</v>
      </c>
      <c r="AA604" s="22">
        <v>9953000</v>
      </c>
      <c r="AB604" s="19">
        <f t="shared" si="215"/>
        <v>100</v>
      </c>
      <c r="AC604" s="22">
        <f>AA604</f>
        <v>9953000</v>
      </c>
      <c r="AD604" s="19">
        <f t="shared" si="216"/>
        <v>100</v>
      </c>
    </row>
    <row r="605" spans="2:30">
      <c r="B605" s="45">
        <v>4</v>
      </c>
      <c r="C605" s="93" t="s">
        <v>205</v>
      </c>
      <c r="D605" s="21" t="s">
        <v>34</v>
      </c>
      <c r="E605" s="489"/>
      <c r="F605" s="489"/>
      <c r="G605" s="240"/>
      <c r="H605" s="186"/>
      <c r="I605" s="240"/>
      <c r="J605" s="15">
        <v>10600000</v>
      </c>
      <c r="K605" s="99">
        <v>10600000</v>
      </c>
      <c r="L605" s="45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55">
        <f>AB605</f>
        <v>100</v>
      </c>
      <c r="Z605" s="55">
        <f>AD605</f>
        <v>100</v>
      </c>
      <c r="AA605" s="73">
        <f>3600000+7000000</f>
        <v>10600000</v>
      </c>
      <c r="AB605" s="19">
        <f t="shared" si="215"/>
        <v>100</v>
      </c>
      <c r="AC605" s="73">
        <f>AA605</f>
        <v>10600000</v>
      </c>
      <c r="AD605" s="19">
        <f t="shared" si="216"/>
        <v>100</v>
      </c>
    </row>
    <row r="606" spans="2:30">
      <c r="B606" s="27">
        <v>80</v>
      </c>
      <c r="C606" s="900" t="s">
        <v>1716</v>
      </c>
      <c r="D606" s="900"/>
      <c r="E606" s="483"/>
      <c r="F606" s="483">
        <v>4</v>
      </c>
      <c r="G606" s="468"/>
      <c r="H606" s="526"/>
      <c r="I606" s="468"/>
      <c r="J606" s="35">
        <f>SUM(J602:J605)</f>
        <v>57000000</v>
      </c>
      <c r="K606" s="35">
        <f>SUM(K602:K605)</f>
        <v>63380000</v>
      </c>
      <c r="L606" s="37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82">
        <f>SUM(Y602:Y605)/4</f>
        <v>93.823741659502844</v>
      </c>
      <c r="Z606" s="82">
        <f>SUM(Z602:Z605)/4</f>
        <v>93.823741659502844</v>
      </c>
      <c r="AA606" s="35">
        <f>SUM(AA602:AA605)</f>
        <v>54512880</v>
      </c>
      <c r="AB606" s="82">
        <f>SUM(AB602:AB605)/4</f>
        <v>93.823741659502844</v>
      </c>
      <c r="AC606" s="35">
        <f>SUM(AC602:AC605)</f>
        <v>54512880</v>
      </c>
      <c r="AD606" s="82">
        <f>SUM(AD602:AD605)/4</f>
        <v>93.823741659502844</v>
      </c>
    </row>
    <row r="607" spans="2:30">
      <c r="B607" s="62"/>
      <c r="C607" s="63" t="s">
        <v>1717</v>
      </c>
      <c r="D607" s="64" t="s">
        <v>1718</v>
      </c>
      <c r="E607" s="484"/>
      <c r="F607" s="484"/>
      <c r="G607" s="472"/>
      <c r="H607" s="242"/>
      <c r="I607" s="472"/>
      <c r="J607" s="65"/>
      <c r="K607" s="65"/>
      <c r="L607" s="66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2:30">
      <c r="B608" s="13">
        <v>1</v>
      </c>
      <c r="C608" s="74" t="s">
        <v>203</v>
      </c>
      <c r="D608" s="74" t="s">
        <v>28</v>
      </c>
      <c r="E608" s="204"/>
      <c r="F608" s="204"/>
      <c r="G608" s="193"/>
      <c r="H608" s="89"/>
      <c r="I608" s="193"/>
      <c r="J608" s="15">
        <v>31600000</v>
      </c>
      <c r="K608" s="99">
        <v>37980000</v>
      </c>
      <c r="L608" s="13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53">
        <f>AB608</f>
        <v>99.141490258030544</v>
      </c>
      <c r="Z608" s="53">
        <f>AD608</f>
        <v>99.141490258030544</v>
      </c>
      <c r="AA608" s="53">
        <v>37653938</v>
      </c>
      <c r="AB608" s="19">
        <f>AA608/K608*100</f>
        <v>99.141490258030544</v>
      </c>
      <c r="AC608" s="53">
        <f>AA608</f>
        <v>37653938</v>
      </c>
      <c r="AD608" s="19">
        <f>AC608/K608*100</f>
        <v>99.141490258030544</v>
      </c>
    </row>
    <row r="609" spans="2:30">
      <c r="B609" s="13">
        <f>B608+1</f>
        <v>2</v>
      </c>
      <c r="C609" s="74" t="s">
        <v>210</v>
      </c>
      <c r="D609" s="74" t="s">
        <v>30</v>
      </c>
      <c r="E609" s="204"/>
      <c r="F609" s="204"/>
      <c r="G609" s="193"/>
      <c r="H609" s="89"/>
      <c r="I609" s="193"/>
      <c r="J609" s="15">
        <v>3500000</v>
      </c>
      <c r="K609" s="99">
        <v>3500000</v>
      </c>
      <c r="L609" s="13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53">
        <f>AB609</f>
        <v>99.857142857142861</v>
      </c>
      <c r="Z609" s="53">
        <f>AD609</f>
        <v>99.857142857142861</v>
      </c>
      <c r="AA609" s="53">
        <v>3495000</v>
      </c>
      <c r="AB609" s="19">
        <f t="shared" ref="AB609:AB611" si="217">AA609/K609*100</f>
        <v>99.857142857142861</v>
      </c>
      <c r="AC609" s="53">
        <f>AA609</f>
        <v>3495000</v>
      </c>
      <c r="AD609" s="19">
        <f t="shared" ref="AD609:AD611" si="218">AC609/K609*100</f>
        <v>99.857142857142861</v>
      </c>
    </row>
    <row r="610" spans="2:30">
      <c r="B610" s="13">
        <f>B609+1</f>
        <v>3</v>
      </c>
      <c r="C610" s="74" t="s">
        <v>204</v>
      </c>
      <c r="D610" s="74" t="s">
        <v>32</v>
      </c>
      <c r="E610" s="204"/>
      <c r="F610" s="204"/>
      <c r="G610" s="193"/>
      <c r="H610" s="89"/>
      <c r="I610" s="193"/>
      <c r="J610" s="15">
        <v>15000000</v>
      </c>
      <c r="K610" s="99">
        <v>15000000</v>
      </c>
      <c r="L610" s="13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53">
        <f>AB610</f>
        <v>99.933333333333323</v>
      </c>
      <c r="Z610" s="53">
        <f>AD610</f>
        <v>99.933333333333323</v>
      </c>
      <c r="AA610" s="53">
        <v>14990000</v>
      </c>
      <c r="AB610" s="19">
        <f t="shared" si="217"/>
        <v>99.933333333333323</v>
      </c>
      <c r="AC610" s="53">
        <f>AA610</f>
        <v>14990000</v>
      </c>
      <c r="AD610" s="19">
        <f t="shared" si="218"/>
        <v>99.933333333333323</v>
      </c>
    </row>
    <row r="611" spans="2:30">
      <c r="B611" s="45">
        <f>B610+1</f>
        <v>4</v>
      </c>
      <c r="C611" s="93" t="s">
        <v>205</v>
      </c>
      <c r="D611" s="93" t="s">
        <v>34</v>
      </c>
      <c r="E611" s="489"/>
      <c r="F611" s="489"/>
      <c r="G611" s="240"/>
      <c r="H611" s="186"/>
      <c r="I611" s="240"/>
      <c r="J611" s="15">
        <v>6900000</v>
      </c>
      <c r="K611" s="99">
        <v>6900000</v>
      </c>
      <c r="L611" s="45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55">
        <f>AB611</f>
        <v>100</v>
      </c>
      <c r="Z611" s="55">
        <f>AD611</f>
        <v>100</v>
      </c>
      <c r="AA611" s="55">
        <v>6900000</v>
      </c>
      <c r="AB611" s="19">
        <f t="shared" si="217"/>
        <v>100</v>
      </c>
      <c r="AC611" s="55">
        <f>AA611</f>
        <v>6900000</v>
      </c>
      <c r="AD611" s="19">
        <f t="shared" si="218"/>
        <v>100</v>
      </c>
    </row>
    <row r="612" spans="2:30">
      <c r="B612" s="117">
        <v>81</v>
      </c>
      <c r="C612" s="900" t="s">
        <v>1719</v>
      </c>
      <c r="D612" s="900"/>
      <c r="E612" s="483"/>
      <c r="F612" s="483">
        <v>4</v>
      </c>
      <c r="G612" s="468"/>
      <c r="H612" s="526"/>
      <c r="I612" s="468"/>
      <c r="J612" s="35">
        <f>SUM(J608:J611)</f>
        <v>57000000</v>
      </c>
      <c r="K612" s="35">
        <f>SUM(K608:K611)</f>
        <v>63380000</v>
      </c>
      <c r="L612" s="37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5">
        <f>SUM(Y608:Y611)/4</f>
        <v>99.732991612126682</v>
      </c>
      <c r="Z612" s="35">
        <f>SUM(Z608:Z611)/4</f>
        <v>99.732991612126682</v>
      </c>
      <c r="AA612" s="35">
        <f>SUM(AA608:AA611)</f>
        <v>63038938</v>
      </c>
      <c r="AB612" s="35">
        <f>SUM(AB608:AB611)/4</f>
        <v>99.732991612126682</v>
      </c>
      <c r="AC612" s="35">
        <f>SUM(AC608:AC611)</f>
        <v>63038938</v>
      </c>
      <c r="AD612" s="35">
        <f>SUM(AD608:AD611)/4</f>
        <v>99.732991612126682</v>
      </c>
    </row>
    <row r="613" spans="2:30">
      <c r="B613" s="66"/>
      <c r="C613" s="63" t="s">
        <v>1720</v>
      </c>
      <c r="D613" s="64" t="s">
        <v>1721</v>
      </c>
      <c r="E613" s="484"/>
      <c r="F613" s="484"/>
      <c r="G613" s="472"/>
      <c r="H613" s="242"/>
      <c r="I613" s="472"/>
      <c r="J613" s="65"/>
      <c r="K613" s="65"/>
      <c r="L613" s="66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2:30">
      <c r="B614" s="13">
        <v>1</v>
      </c>
      <c r="C614" s="74" t="s">
        <v>203</v>
      </c>
      <c r="D614" s="74" t="s">
        <v>28</v>
      </c>
      <c r="E614" s="204"/>
      <c r="F614" s="204"/>
      <c r="G614" s="193"/>
      <c r="H614" s="89"/>
      <c r="I614" s="193"/>
      <c r="J614" s="15">
        <v>31821000</v>
      </c>
      <c r="K614" s="99">
        <v>38781000</v>
      </c>
      <c r="L614" s="13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53">
        <f>AB614</f>
        <v>76.536963977205332</v>
      </c>
      <c r="Z614" s="53">
        <f>AD614</f>
        <v>76.536963977205332</v>
      </c>
      <c r="AA614" s="22">
        <v>29681800</v>
      </c>
      <c r="AB614" s="19">
        <f>AA614/K614*100</f>
        <v>76.536963977205332</v>
      </c>
      <c r="AC614" s="53">
        <f>AA614</f>
        <v>29681800</v>
      </c>
      <c r="AD614" s="19">
        <f>AC614/K614*100</f>
        <v>76.536963977205332</v>
      </c>
    </row>
    <row r="615" spans="2:30">
      <c r="B615" s="13">
        <f>B614+1</f>
        <v>2</v>
      </c>
      <c r="C615" s="74" t="s">
        <v>210</v>
      </c>
      <c r="D615" s="74" t="s">
        <v>30</v>
      </c>
      <c r="E615" s="204"/>
      <c r="F615" s="204"/>
      <c r="G615" s="193"/>
      <c r="H615" s="89"/>
      <c r="I615" s="193"/>
      <c r="J615" s="15">
        <v>4080000</v>
      </c>
      <c r="K615" s="99">
        <v>4080000</v>
      </c>
      <c r="L615" s="13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53">
        <f>AB615</f>
        <v>54.901960784313729</v>
      </c>
      <c r="Z615" s="53">
        <f>AD615</f>
        <v>54.901960784313729</v>
      </c>
      <c r="AA615" s="22">
        <v>2240000</v>
      </c>
      <c r="AB615" s="19">
        <f t="shared" ref="AB615:AB618" si="219">AA615/K615*100</f>
        <v>54.901960784313729</v>
      </c>
      <c r="AC615" s="53">
        <f>AA615</f>
        <v>2240000</v>
      </c>
      <c r="AD615" s="19">
        <f t="shared" ref="AD615:AD618" si="220">AC615/K615*100</f>
        <v>54.901960784313729</v>
      </c>
    </row>
    <row r="616" spans="2:30">
      <c r="B616" s="13">
        <f>B615+1</f>
        <v>3</v>
      </c>
      <c r="C616" s="74" t="s">
        <v>204</v>
      </c>
      <c r="D616" s="74" t="s">
        <v>32</v>
      </c>
      <c r="E616" s="204"/>
      <c r="F616" s="204"/>
      <c r="G616" s="193"/>
      <c r="H616" s="89"/>
      <c r="I616" s="193"/>
      <c r="J616" s="15">
        <v>9999000</v>
      </c>
      <c r="K616" s="99">
        <v>9999000</v>
      </c>
      <c r="L616" s="13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53">
        <f>AB616</f>
        <v>69.256925692569254</v>
      </c>
      <c r="Z616" s="53">
        <f>AD616</f>
        <v>69.256925692569254</v>
      </c>
      <c r="AA616" s="22">
        <v>6925000</v>
      </c>
      <c r="AB616" s="19">
        <f t="shared" si="219"/>
        <v>69.256925692569254</v>
      </c>
      <c r="AC616" s="53">
        <f>AA616</f>
        <v>6925000</v>
      </c>
      <c r="AD616" s="19">
        <f t="shared" si="220"/>
        <v>69.256925692569254</v>
      </c>
    </row>
    <row r="617" spans="2:30">
      <c r="B617" s="45">
        <f>B616+1</f>
        <v>4</v>
      </c>
      <c r="C617" s="93" t="s">
        <v>205</v>
      </c>
      <c r="D617" s="93" t="s">
        <v>34</v>
      </c>
      <c r="E617" s="489"/>
      <c r="F617" s="489"/>
      <c r="G617" s="240"/>
      <c r="H617" s="186"/>
      <c r="I617" s="240"/>
      <c r="J617" s="15">
        <v>11100000</v>
      </c>
      <c r="K617" s="99">
        <v>11100000</v>
      </c>
      <c r="L617" s="45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55">
        <f>AB617</f>
        <v>100</v>
      </c>
      <c r="Z617" s="55">
        <f>AD617</f>
        <v>100</v>
      </c>
      <c r="AA617" s="22">
        <v>11100000</v>
      </c>
      <c r="AB617" s="19">
        <f t="shared" si="219"/>
        <v>100</v>
      </c>
      <c r="AC617" s="55">
        <f>AA617</f>
        <v>11100000</v>
      </c>
      <c r="AD617" s="19">
        <f t="shared" si="220"/>
        <v>100</v>
      </c>
    </row>
    <row r="618" spans="2:30">
      <c r="B618" s="45">
        <f>B617+1</f>
        <v>5</v>
      </c>
      <c r="C618" s="735" t="s">
        <v>2314</v>
      </c>
      <c r="D618" s="58" t="s">
        <v>2315</v>
      </c>
      <c r="E618" s="347"/>
      <c r="F618" s="347"/>
      <c r="G618" s="498"/>
      <c r="H618" s="105"/>
      <c r="I618" s="498"/>
      <c r="J618" s="598"/>
      <c r="K618" s="99">
        <v>120000000</v>
      </c>
      <c r="L618" s="47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5">
        <f>AB618</f>
        <v>100</v>
      </c>
      <c r="Z618" s="55">
        <f>AD618</f>
        <v>100</v>
      </c>
      <c r="AA618" s="22">
        <v>120000000</v>
      </c>
      <c r="AB618" s="19">
        <f t="shared" si="219"/>
        <v>100</v>
      </c>
      <c r="AC618" s="55">
        <f>AA618</f>
        <v>120000000</v>
      </c>
      <c r="AD618" s="19">
        <f t="shared" si="220"/>
        <v>100</v>
      </c>
    </row>
    <row r="619" spans="2:30">
      <c r="B619" s="117">
        <v>82</v>
      </c>
      <c r="C619" s="900" t="s">
        <v>1722</v>
      </c>
      <c r="D619" s="900"/>
      <c r="E619" s="483"/>
      <c r="F619" s="483">
        <v>5</v>
      </c>
      <c r="G619" s="468"/>
      <c r="H619" s="526"/>
      <c r="I619" s="468"/>
      <c r="J619" s="35">
        <f>SUM(J614:J617)</f>
        <v>57000000</v>
      </c>
      <c r="K619" s="35">
        <f>SUM(K614:K618)</f>
        <v>183960000</v>
      </c>
      <c r="L619" s="37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82">
        <f>SUM(Y614:Y618)/5</f>
        <v>80.139170090817657</v>
      </c>
      <c r="Z619" s="82">
        <f>SUM(Z614:Z618)/5</f>
        <v>80.139170090817657</v>
      </c>
      <c r="AA619" s="35">
        <f>SUM(AA614:AA618)</f>
        <v>169946800</v>
      </c>
      <c r="AB619" s="82">
        <f>SUM(AB614:AB618)/5</f>
        <v>80.139170090817657</v>
      </c>
      <c r="AC619" s="35">
        <f>SUM(AC614:AC618)</f>
        <v>169946800</v>
      </c>
      <c r="AD619" s="82">
        <f>SUM(AD614:AD618)/5</f>
        <v>80.139170090817657</v>
      </c>
    </row>
    <row r="620" spans="2:30">
      <c r="B620" s="66"/>
      <c r="C620" s="63" t="s">
        <v>1723</v>
      </c>
      <c r="D620" s="64" t="s">
        <v>1724</v>
      </c>
      <c r="E620" s="484"/>
      <c r="F620" s="484"/>
      <c r="G620" s="472"/>
      <c r="H620" s="242"/>
      <c r="I620" s="472"/>
      <c r="J620" s="65"/>
      <c r="K620" s="65"/>
      <c r="L620" s="66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2:30">
      <c r="B621" s="13">
        <v>1</v>
      </c>
      <c r="C621" s="74" t="s">
        <v>203</v>
      </c>
      <c r="D621" s="74" t="s">
        <v>28</v>
      </c>
      <c r="E621" s="204"/>
      <c r="F621" s="204"/>
      <c r="G621" s="193"/>
      <c r="H621" s="89"/>
      <c r="I621" s="193"/>
      <c r="J621" s="15">
        <v>33300000</v>
      </c>
      <c r="K621" s="99">
        <v>41375000</v>
      </c>
      <c r="L621" s="13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53">
        <f>AB621</f>
        <v>96.139262839879152</v>
      </c>
      <c r="Z621" s="53">
        <f>AD621</f>
        <v>96.139262839879152</v>
      </c>
      <c r="AA621" s="53">
        <f>4150000+1200000+240000+240000+700000+5298040+720000+4190500+9166080+468000+2400000+11005000</f>
        <v>39777620</v>
      </c>
      <c r="AB621" s="19">
        <f>AA621/K621*100</f>
        <v>96.139262839879152</v>
      </c>
      <c r="AC621" s="53">
        <f>AA621</f>
        <v>39777620</v>
      </c>
      <c r="AD621" s="19">
        <f>AC621/K621*100</f>
        <v>96.139262839879152</v>
      </c>
    </row>
    <row r="622" spans="2:30">
      <c r="B622" s="13">
        <f>B621+1</f>
        <v>2</v>
      </c>
      <c r="C622" s="74" t="s">
        <v>210</v>
      </c>
      <c r="D622" s="74" t="s">
        <v>30</v>
      </c>
      <c r="E622" s="204"/>
      <c r="F622" s="204"/>
      <c r="G622" s="193"/>
      <c r="H622" s="89"/>
      <c r="I622" s="193"/>
      <c r="J622" s="15">
        <v>2400000</v>
      </c>
      <c r="K622" s="99">
        <v>2400000</v>
      </c>
      <c r="L622" s="13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53">
        <f>AB622</f>
        <v>100</v>
      </c>
      <c r="Z622" s="53">
        <f>AD622</f>
        <v>100</v>
      </c>
      <c r="AA622" s="53">
        <v>2400000</v>
      </c>
      <c r="AB622" s="19">
        <f t="shared" ref="AB622:AB625" si="221">AA622/K622*100</f>
        <v>100</v>
      </c>
      <c r="AC622" s="53">
        <f>AA622</f>
        <v>2400000</v>
      </c>
      <c r="AD622" s="19">
        <f t="shared" ref="AD622:AD625" si="222">AC622/K622*100</f>
        <v>100</v>
      </c>
    </row>
    <row r="623" spans="2:30">
      <c r="B623" s="13">
        <f>B622+1</f>
        <v>3</v>
      </c>
      <c r="C623" s="74" t="s">
        <v>204</v>
      </c>
      <c r="D623" s="74" t="s">
        <v>32</v>
      </c>
      <c r="E623" s="204"/>
      <c r="F623" s="204"/>
      <c r="G623" s="193"/>
      <c r="H623" s="89"/>
      <c r="I623" s="193"/>
      <c r="J623" s="15">
        <v>7800000</v>
      </c>
      <c r="K623" s="99">
        <v>7800000</v>
      </c>
      <c r="L623" s="13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53">
        <f>AB623</f>
        <v>100</v>
      </c>
      <c r="Z623" s="53">
        <f>AD623</f>
        <v>100</v>
      </c>
      <c r="AA623" s="53">
        <v>7800000</v>
      </c>
      <c r="AB623" s="19">
        <f t="shared" si="221"/>
        <v>100</v>
      </c>
      <c r="AC623" s="53">
        <f>AA623</f>
        <v>7800000</v>
      </c>
      <c r="AD623" s="19">
        <f t="shared" si="222"/>
        <v>100</v>
      </c>
    </row>
    <row r="624" spans="2:30">
      <c r="B624" s="45">
        <f>B623+1</f>
        <v>4</v>
      </c>
      <c r="C624" s="93" t="s">
        <v>205</v>
      </c>
      <c r="D624" s="93" t="s">
        <v>34</v>
      </c>
      <c r="E624" s="489"/>
      <c r="F624" s="489"/>
      <c r="G624" s="240"/>
      <c r="H624" s="186"/>
      <c r="I624" s="240"/>
      <c r="J624" s="79">
        <v>13500000</v>
      </c>
      <c r="K624" s="99">
        <v>13500000</v>
      </c>
      <c r="L624" s="45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55">
        <f>AB624</f>
        <v>100</v>
      </c>
      <c r="Z624" s="55">
        <f>AD624</f>
        <v>100</v>
      </c>
      <c r="AA624" s="55">
        <f>5200000+5000000+3300000</f>
        <v>13500000</v>
      </c>
      <c r="AB624" s="19">
        <f t="shared" si="221"/>
        <v>100</v>
      </c>
      <c r="AC624" s="55">
        <f>AA624</f>
        <v>13500000</v>
      </c>
      <c r="AD624" s="19">
        <f t="shared" si="222"/>
        <v>100</v>
      </c>
    </row>
    <row r="625" spans="2:30" ht="25.5">
      <c r="B625" s="32">
        <v>5</v>
      </c>
      <c r="C625" s="346">
        <v>16.23</v>
      </c>
      <c r="D625" s="303" t="s">
        <v>1631</v>
      </c>
      <c r="E625" s="507"/>
      <c r="F625" s="489"/>
      <c r="G625" s="240"/>
      <c r="H625" s="186"/>
      <c r="I625" s="240"/>
      <c r="J625" s="15">
        <v>10000000</v>
      </c>
      <c r="K625" s="99">
        <v>10000000</v>
      </c>
      <c r="L625" s="32"/>
      <c r="M625" s="33"/>
      <c r="N625" s="33"/>
      <c r="O625" s="33"/>
      <c r="P625" s="33"/>
      <c r="Q625" s="33"/>
      <c r="R625" s="44"/>
      <c r="S625" s="44"/>
      <c r="T625" s="44"/>
      <c r="U625" s="44"/>
      <c r="V625" s="44"/>
      <c r="W625" s="44"/>
      <c r="X625" s="44"/>
      <c r="Y625" s="55">
        <f>AB625</f>
        <v>100</v>
      </c>
      <c r="Z625" s="55">
        <f>AD625</f>
        <v>100</v>
      </c>
      <c r="AA625" s="55">
        <v>10000000</v>
      </c>
      <c r="AB625" s="19">
        <f t="shared" si="221"/>
        <v>100</v>
      </c>
      <c r="AC625" s="55">
        <f>AA625</f>
        <v>10000000</v>
      </c>
      <c r="AD625" s="19">
        <f t="shared" si="222"/>
        <v>100</v>
      </c>
    </row>
    <row r="626" spans="2:30">
      <c r="B626" s="117">
        <v>83</v>
      </c>
      <c r="C626" s="900" t="s">
        <v>1725</v>
      </c>
      <c r="D626" s="900"/>
      <c r="E626" s="483"/>
      <c r="F626" s="483">
        <v>5</v>
      </c>
      <c r="G626" s="468"/>
      <c r="H626" s="526"/>
      <c r="I626" s="468"/>
      <c r="J626" s="35">
        <f>SUM(J621:J625)</f>
        <v>67000000</v>
      </c>
      <c r="K626" s="35">
        <f>SUM(K621:K625)</f>
        <v>75075000</v>
      </c>
      <c r="L626" s="37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82">
        <f>SUM(Y621:Y625)/5</f>
        <v>99.22785256797583</v>
      </c>
      <c r="Z626" s="82">
        <f>SUM(Z621:Z625)/5</f>
        <v>99.22785256797583</v>
      </c>
      <c r="AA626" s="35">
        <f>SUM(AA621:AA625)</f>
        <v>73477620</v>
      </c>
      <c r="AB626" s="82">
        <f>SUM(AB621:AB625)/5</f>
        <v>99.22785256797583</v>
      </c>
      <c r="AC626" s="35">
        <f>SUM(AC621:AC625)</f>
        <v>73477620</v>
      </c>
      <c r="AD626" s="82">
        <f>SUM(AD621:AD625)/5</f>
        <v>99.22785256797583</v>
      </c>
    </row>
    <row r="627" spans="2:30">
      <c r="B627" s="66"/>
      <c r="C627" s="63" t="s">
        <v>1726</v>
      </c>
      <c r="D627" s="64" t="s">
        <v>1727</v>
      </c>
      <c r="E627" s="484"/>
      <c r="F627" s="484"/>
      <c r="G627" s="472"/>
      <c r="H627" s="242"/>
      <c r="I627" s="472"/>
      <c r="J627" s="65"/>
      <c r="K627" s="65"/>
      <c r="L627" s="66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2:30">
      <c r="B628" s="13">
        <v>1</v>
      </c>
      <c r="C628" s="21" t="s">
        <v>203</v>
      </c>
      <c r="D628" s="21" t="s">
        <v>28</v>
      </c>
      <c r="E628" s="204"/>
      <c r="F628" s="204"/>
      <c r="G628" s="193"/>
      <c r="H628" s="89"/>
      <c r="I628" s="193"/>
      <c r="J628" s="15">
        <v>37780000</v>
      </c>
      <c r="K628" s="99">
        <v>44160000</v>
      </c>
      <c r="L628" s="13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53">
        <v>0</v>
      </c>
      <c r="Z628" s="53">
        <f>AD628</f>
        <v>0</v>
      </c>
      <c r="AA628" s="22"/>
      <c r="AB628" s="19">
        <f>AA628/K628*100</f>
        <v>0</v>
      </c>
      <c r="AC628" s="22">
        <f>AA628</f>
        <v>0</v>
      </c>
      <c r="AD628" s="19">
        <f>AC628/K628*100</f>
        <v>0</v>
      </c>
    </row>
    <row r="629" spans="2:30">
      <c r="B629" s="13">
        <f>B628+1</f>
        <v>2</v>
      </c>
      <c r="C629" s="21" t="s">
        <v>210</v>
      </c>
      <c r="D629" s="21" t="s">
        <v>30</v>
      </c>
      <c r="E629" s="204"/>
      <c r="F629" s="204"/>
      <c r="G629" s="193"/>
      <c r="H629" s="89"/>
      <c r="I629" s="193"/>
      <c r="J629" s="15">
        <v>3400000</v>
      </c>
      <c r="K629" s="99">
        <v>3400000</v>
      </c>
      <c r="L629" s="13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53">
        <v>0</v>
      </c>
      <c r="Z629" s="53">
        <f>AD629</f>
        <v>0</v>
      </c>
      <c r="AA629" s="22"/>
      <c r="AB629" s="19">
        <f t="shared" ref="AB629:AB631" si="223">AA629/K629*100</f>
        <v>0</v>
      </c>
      <c r="AC629" s="22">
        <f>AA629</f>
        <v>0</v>
      </c>
      <c r="AD629" s="19">
        <f t="shared" ref="AD629:AD631" si="224">AC629/K629*100</f>
        <v>0</v>
      </c>
    </row>
    <row r="630" spans="2:30">
      <c r="B630" s="13">
        <f>B629+1</f>
        <v>3</v>
      </c>
      <c r="C630" s="21" t="s">
        <v>204</v>
      </c>
      <c r="D630" s="21" t="s">
        <v>32</v>
      </c>
      <c r="E630" s="204"/>
      <c r="F630" s="204"/>
      <c r="G630" s="193"/>
      <c r="H630" s="89"/>
      <c r="I630" s="193"/>
      <c r="J630" s="15">
        <v>9920000</v>
      </c>
      <c r="K630" s="99">
        <v>9920000</v>
      </c>
      <c r="L630" s="13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53">
        <v>0</v>
      </c>
      <c r="Z630" s="53">
        <f>AD630</f>
        <v>0</v>
      </c>
      <c r="AA630" s="22"/>
      <c r="AB630" s="19">
        <f t="shared" si="223"/>
        <v>0</v>
      </c>
      <c r="AC630" s="22">
        <f>AA630</f>
        <v>0</v>
      </c>
      <c r="AD630" s="19">
        <f t="shared" si="224"/>
        <v>0</v>
      </c>
    </row>
    <row r="631" spans="2:30">
      <c r="B631" s="13">
        <f>B630+1</f>
        <v>4</v>
      </c>
      <c r="C631" s="21" t="s">
        <v>205</v>
      </c>
      <c r="D631" s="21" t="s">
        <v>34</v>
      </c>
      <c r="E631" s="204"/>
      <c r="F631" s="204"/>
      <c r="G631" s="193"/>
      <c r="H631" s="89"/>
      <c r="I631" s="193"/>
      <c r="J631" s="15">
        <v>5900000</v>
      </c>
      <c r="K631" s="99">
        <v>5900000</v>
      </c>
      <c r="L631" s="13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53">
        <v>0</v>
      </c>
      <c r="Z631" s="53">
        <f>AD631</f>
        <v>0</v>
      </c>
      <c r="AA631" s="22"/>
      <c r="AB631" s="19">
        <f t="shared" si="223"/>
        <v>0</v>
      </c>
      <c r="AC631" s="22">
        <f>AA631</f>
        <v>0</v>
      </c>
      <c r="AD631" s="19">
        <f t="shared" si="224"/>
        <v>0</v>
      </c>
    </row>
    <row r="632" spans="2:30">
      <c r="B632" s="117">
        <v>84</v>
      </c>
      <c r="C632" s="900" t="s">
        <v>1728</v>
      </c>
      <c r="D632" s="900"/>
      <c r="E632" s="483"/>
      <c r="F632" s="483">
        <v>4</v>
      </c>
      <c r="G632" s="468"/>
      <c r="H632" s="526"/>
      <c r="I632" s="468"/>
      <c r="J632" s="35">
        <f>SUM(J628:J631)</f>
        <v>57000000</v>
      </c>
      <c r="K632" s="35">
        <f>SUM(K628:K631)</f>
        <v>63380000</v>
      </c>
      <c r="L632" s="37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42">
        <f>SUM(Y628:Y631)/4</f>
        <v>0</v>
      </c>
      <c r="Z632" s="42">
        <f>SUM(Z628:Z631)/4</f>
        <v>0</v>
      </c>
      <c r="AA632" s="67">
        <f>SUM(AA628:AA631)</f>
        <v>0</v>
      </c>
      <c r="AB632" s="42">
        <f>SUM(AB628:AB631)/4</f>
        <v>0</v>
      </c>
      <c r="AC632" s="67">
        <f>SUM(AC628:AC631)</f>
        <v>0</v>
      </c>
      <c r="AD632" s="42">
        <f>SUM(AD628:AD631)/4</f>
        <v>0</v>
      </c>
    </row>
    <row r="633" spans="2:30">
      <c r="B633" s="66"/>
      <c r="C633" s="63" t="s">
        <v>1729</v>
      </c>
      <c r="D633" s="64" t="s">
        <v>1730</v>
      </c>
      <c r="E633" s="484"/>
      <c r="F633" s="484"/>
      <c r="G633" s="472"/>
      <c r="H633" s="242"/>
      <c r="I633" s="472"/>
      <c r="J633" s="65"/>
      <c r="K633" s="65"/>
      <c r="L633" s="66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2:30">
      <c r="B634" s="13">
        <v>1</v>
      </c>
      <c r="C634" s="74" t="s">
        <v>203</v>
      </c>
      <c r="D634" s="21" t="s">
        <v>28</v>
      </c>
      <c r="E634" s="204"/>
      <c r="F634" s="204"/>
      <c r="G634" s="193"/>
      <c r="H634" s="89"/>
      <c r="I634" s="193"/>
      <c r="J634" s="15">
        <v>29150000</v>
      </c>
      <c r="K634" s="99">
        <v>34645000</v>
      </c>
      <c r="L634" s="13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53">
        <f>AB634</f>
        <v>97.899263963053826</v>
      </c>
      <c r="Z634" s="53">
        <f>AD634</f>
        <v>97.899263963053826</v>
      </c>
      <c r="AA634" s="53">
        <v>33917200</v>
      </c>
      <c r="AB634" s="19">
        <f>AA634/K634*100</f>
        <v>97.899263963053826</v>
      </c>
      <c r="AC634" s="53">
        <f>AA634</f>
        <v>33917200</v>
      </c>
      <c r="AD634" s="19">
        <f>AC634/K634*100</f>
        <v>97.899263963053826</v>
      </c>
    </row>
    <row r="635" spans="2:30">
      <c r="B635" s="13">
        <f>B634+1</f>
        <v>2</v>
      </c>
      <c r="C635" s="74" t="s">
        <v>210</v>
      </c>
      <c r="D635" s="21" t="s">
        <v>30</v>
      </c>
      <c r="E635" s="204"/>
      <c r="F635" s="204"/>
      <c r="G635" s="193"/>
      <c r="H635" s="89"/>
      <c r="I635" s="193"/>
      <c r="J635" s="15">
        <v>4550000</v>
      </c>
      <c r="K635" s="99">
        <v>4060000</v>
      </c>
      <c r="L635" s="13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53">
        <f>AB635</f>
        <v>100</v>
      </c>
      <c r="Z635" s="53">
        <f>AD635</f>
        <v>100</v>
      </c>
      <c r="AA635" s="53">
        <v>4060000</v>
      </c>
      <c r="AB635" s="19">
        <f t="shared" ref="AB635:AB637" si="225">AA635/K635*100</f>
        <v>100</v>
      </c>
      <c r="AC635" s="53">
        <f>AA635</f>
        <v>4060000</v>
      </c>
      <c r="AD635" s="19">
        <f t="shared" ref="AD635:AD637" si="226">AC635/K635*100</f>
        <v>100</v>
      </c>
    </row>
    <row r="636" spans="2:30">
      <c r="B636" s="45">
        <v>3</v>
      </c>
      <c r="C636" s="74" t="s">
        <v>204</v>
      </c>
      <c r="D636" s="21" t="s">
        <v>32</v>
      </c>
      <c r="E636" s="489"/>
      <c r="F636" s="489"/>
      <c r="G636" s="240"/>
      <c r="H636" s="186"/>
      <c r="I636" s="240"/>
      <c r="J636" s="15">
        <v>6000000</v>
      </c>
      <c r="K636" s="99">
        <v>6000000</v>
      </c>
      <c r="L636" s="45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53">
        <f>AB636</f>
        <v>100</v>
      </c>
      <c r="Z636" s="53">
        <f>AD636</f>
        <v>100</v>
      </c>
      <c r="AA636" s="53">
        <v>6000000</v>
      </c>
      <c r="AB636" s="19">
        <f t="shared" si="225"/>
        <v>100</v>
      </c>
      <c r="AC636" s="53">
        <f>AA636</f>
        <v>6000000</v>
      </c>
      <c r="AD636" s="19">
        <f t="shared" si="226"/>
        <v>100</v>
      </c>
    </row>
    <row r="637" spans="2:30">
      <c r="B637" s="45">
        <v>4</v>
      </c>
      <c r="C637" s="93" t="s">
        <v>205</v>
      </c>
      <c r="D637" s="21" t="s">
        <v>34</v>
      </c>
      <c r="E637" s="489"/>
      <c r="F637" s="489"/>
      <c r="G637" s="240"/>
      <c r="H637" s="186"/>
      <c r="I637" s="240"/>
      <c r="J637" s="15">
        <v>17300000</v>
      </c>
      <c r="K637" s="99">
        <v>17300000</v>
      </c>
      <c r="L637" s="45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55">
        <f>AB637</f>
        <v>100</v>
      </c>
      <c r="Z637" s="55">
        <f>AD637</f>
        <v>100</v>
      </c>
      <c r="AA637" s="55">
        <f>600000+1200000+3500000+12000000</f>
        <v>17300000</v>
      </c>
      <c r="AB637" s="19">
        <f t="shared" si="225"/>
        <v>100</v>
      </c>
      <c r="AC637" s="55">
        <f>AA637</f>
        <v>17300000</v>
      </c>
      <c r="AD637" s="19">
        <f t="shared" si="226"/>
        <v>100</v>
      </c>
    </row>
    <row r="638" spans="2:30">
      <c r="B638" s="117">
        <v>85</v>
      </c>
      <c r="C638" s="900" t="s">
        <v>1731</v>
      </c>
      <c r="D638" s="900"/>
      <c r="E638" s="483"/>
      <c r="F638" s="483">
        <v>4</v>
      </c>
      <c r="G638" s="468"/>
      <c r="H638" s="526"/>
      <c r="I638" s="468"/>
      <c r="J638" s="35">
        <f>SUM(J634:J637)</f>
        <v>57000000</v>
      </c>
      <c r="K638" s="35">
        <f>SUM(K634:K637)</f>
        <v>62005000</v>
      </c>
      <c r="L638" s="37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82">
        <f>SUM(Y634:Y637)/4</f>
        <v>99.47481599076346</v>
      </c>
      <c r="Z638" s="82">
        <f>SUM(Z634:Z637)/4</f>
        <v>99.47481599076346</v>
      </c>
      <c r="AA638" s="35">
        <f>SUM(AA634:AA637)</f>
        <v>61277200</v>
      </c>
      <c r="AB638" s="82">
        <f>SUM(AB634:AB637)/4</f>
        <v>99.47481599076346</v>
      </c>
      <c r="AC638" s="35">
        <f>SUM(AC634:AC637)</f>
        <v>61277200</v>
      </c>
      <c r="AD638" s="82">
        <f>SUM(AD634:AD637)/4</f>
        <v>99.47481599076346</v>
      </c>
    </row>
    <row r="639" spans="2:30">
      <c r="B639" s="66"/>
      <c r="C639" s="63" t="s">
        <v>1732</v>
      </c>
      <c r="D639" s="64" t="s">
        <v>1733</v>
      </c>
      <c r="E639" s="484"/>
      <c r="F639" s="484"/>
      <c r="G639" s="472"/>
      <c r="H639" s="242"/>
      <c r="I639" s="472"/>
      <c r="J639" s="65"/>
      <c r="K639" s="65"/>
      <c r="L639" s="66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2:30">
      <c r="B640" s="13">
        <f>B639+1</f>
        <v>1</v>
      </c>
      <c r="C640" s="74" t="s">
        <v>203</v>
      </c>
      <c r="D640" s="74" t="s">
        <v>28</v>
      </c>
      <c r="E640" s="204"/>
      <c r="F640" s="204"/>
      <c r="G640" s="193"/>
      <c r="H640" s="89"/>
      <c r="I640" s="193"/>
      <c r="J640" s="15">
        <v>25315000</v>
      </c>
      <c r="K640" s="99">
        <v>31470000</v>
      </c>
      <c r="L640" s="13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53">
        <f>AB640</f>
        <v>96.428509691769932</v>
      </c>
      <c r="Z640" s="53">
        <f>AD640</f>
        <v>96.428509691769932</v>
      </c>
      <c r="AA640" s="99">
        <v>30346052</v>
      </c>
      <c r="AB640" s="19">
        <f>AA640/K640*100</f>
        <v>96.428509691769932</v>
      </c>
      <c r="AC640" s="22">
        <f>AA640</f>
        <v>30346052</v>
      </c>
      <c r="AD640" s="19">
        <f>AC640/K640*100</f>
        <v>96.428509691769932</v>
      </c>
    </row>
    <row r="641" spans="2:30">
      <c r="B641" s="13">
        <f>B640+1</f>
        <v>2</v>
      </c>
      <c r="C641" s="74" t="s">
        <v>210</v>
      </c>
      <c r="D641" s="74" t="s">
        <v>30</v>
      </c>
      <c r="E641" s="204"/>
      <c r="F641" s="204"/>
      <c r="G641" s="193"/>
      <c r="H641" s="89"/>
      <c r="I641" s="193"/>
      <c r="J641" s="15">
        <v>4000000</v>
      </c>
      <c r="K641" s="99">
        <v>4000000</v>
      </c>
      <c r="L641" s="13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53">
        <f>AB641</f>
        <v>100</v>
      </c>
      <c r="Z641" s="53">
        <f>AD641</f>
        <v>100</v>
      </c>
      <c r="AA641" s="99">
        <v>4000000</v>
      </c>
      <c r="AB641" s="19">
        <f t="shared" ref="AB641:AB643" si="227">AA641/K641*100</f>
        <v>100</v>
      </c>
      <c r="AC641" s="22">
        <f>AA641</f>
        <v>4000000</v>
      </c>
      <c r="AD641" s="19">
        <f t="shared" ref="AD641:AD643" si="228">AC641/K641*100</f>
        <v>100</v>
      </c>
    </row>
    <row r="642" spans="2:30">
      <c r="B642" s="13">
        <f>B641+1</f>
        <v>3</v>
      </c>
      <c r="C642" s="74" t="s">
        <v>204</v>
      </c>
      <c r="D642" s="74" t="s">
        <v>32</v>
      </c>
      <c r="E642" s="204"/>
      <c r="F642" s="204"/>
      <c r="G642" s="193"/>
      <c r="H642" s="89"/>
      <c r="I642" s="193"/>
      <c r="J642" s="15">
        <v>13750000</v>
      </c>
      <c r="K642" s="99">
        <v>13350000</v>
      </c>
      <c r="L642" s="13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53">
        <f>AB642</f>
        <v>100</v>
      </c>
      <c r="Z642" s="53">
        <f>AD642</f>
        <v>100</v>
      </c>
      <c r="AA642" s="99">
        <v>13350000</v>
      </c>
      <c r="AB642" s="19">
        <f t="shared" si="227"/>
        <v>100</v>
      </c>
      <c r="AC642" s="22">
        <f>AA642</f>
        <v>13350000</v>
      </c>
      <c r="AD642" s="19">
        <f t="shared" si="228"/>
        <v>100</v>
      </c>
    </row>
    <row r="643" spans="2:30">
      <c r="B643" s="45">
        <f>B642+1</f>
        <v>4</v>
      </c>
      <c r="C643" s="93" t="s">
        <v>205</v>
      </c>
      <c r="D643" s="93" t="s">
        <v>34</v>
      </c>
      <c r="E643" s="489"/>
      <c r="F643" s="489"/>
      <c r="G643" s="240"/>
      <c r="H643" s="186"/>
      <c r="I643" s="240"/>
      <c r="J643" s="15">
        <v>13935000</v>
      </c>
      <c r="K643" s="99">
        <v>15140000</v>
      </c>
      <c r="L643" s="45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55">
        <f>AB643</f>
        <v>100</v>
      </c>
      <c r="Z643" s="55">
        <f>AD643</f>
        <v>100</v>
      </c>
      <c r="AA643" s="99">
        <v>15140000</v>
      </c>
      <c r="AB643" s="19">
        <f t="shared" si="227"/>
        <v>100</v>
      </c>
      <c r="AC643" s="73">
        <f>AA643</f>
        <v>15140000</v>
      </c>
      <c r="AD643" s="19">
        <f t="shared" si="228"/>
        <v>100</v>
      </c>
    </row>
    <row r="644" spans="2:30">
      <c r="B644" s="27">
        <v>86</v>
      </c>
      <c r="C644" s="900" t="s">
        <v>1734</v>
      </c>
      <c r="D644" s="900"/>
      <c r="E644" s="483"/>
      <c r="F644" s="483">
        <v>4</v>
      </c>
      <c r="G644" s="468"/>
      <c r="H644" s="526"/>
      <c r="I644" s="468"/>
      <c r="J644" s="35">
        <f>SUM(J640:J643)</f>
        <v>57000000</v>
      </c>
      <c r="K644" s="35">
        <f>SUM(K640:K643)</f>
        <v>63960000</v>
      </c>
      <c r="L644" s="37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82">
        <f>SUM(Y640:Y643)/4</f>
        <v>99.107127422942483</v>
      </c>
      <c r="Z644" s="82">
        <f>SUM(Z640:Z643)/4</f>
        <v>99.107127422942483</v>
      </c>
      <c r="AA644" s="82">
        <f>SUM(AA640:AA643)</f>
        <v>62836052</v>
      </c>
      <c r="AB644" s="82">
        <f>SUM(AB640:AB643)/4</f>
        <v>99.107127422942483</v>
      </c>
      <c r="AC644" s="82">
        <f>SUM(AC640:AC643)</f>
        <v>62836052</v>
      </c>
      <c r="AD644" s="82">
        <f>SUM(AD640:AD643)/4</f>
        <v>99.107127422942483</v>
      </c>
    </row>
    <row r="645" spans="2:30">
      <c r="B645" s="62"/>
      <c r="C645" s="63" t="s">
        <v>1735</v>
      </c>
      <c r="D645" s="118" t="s">
        <v>1736</v>
      </c>
      <c r="E645" s="484"/>
      <c r="F645" s="484"/>
      <c r="G645" s="472"/>
      <c r="H645" s="242"/>
      <c r="I645" s="472"/>
      <c r="J645" s="65"/>
      <c r="K645" s="65"/>
      <c r="L645" s="66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2:30">
      <c r="B646" s="13">
        <v>1</v>
      </c>
      <c r="C646" s="74" t="s">
        <v>203</v>
      </c>
      <c r="D646" s="74" t="s">
        <v>28</v>
      </c>
      <c r="E646" s="204"/>
      <c r="F646" s="204"/>
      <c r="G646" s="193"/>
      <c r="H646" s="89"/>
      <c r="I646" s="193"/>
      <c r="J646" s="15">
        <v>40330000</v>
      </c>
      <c r="K646" s="99">
        <v>46160000</v>
      </c>
      <c r="L646" s="13" t="s">
        <v>1</v>
      </c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53">
        <f t="shared" ref="Y646:Y649" si="229">AB646</f>
        <v>93.844454072790299</v>
      </c>
      <c r="Z646" s="53">
        <f t="shared" ref="Z646:Z649" si="230">AD646</f>
        <v>93.844454072790299</v>
      </c>
      <c r="AA646" s="22">
        <v>43318600</v>
      </c>
      <c r="AB646" s="19">
        <f>AA646/K646*100</f>
        <v>93.844454072790299</v>
      </c>
      <c r="AC646" s="53">
        <f t="shared" ref="AC646:AC650" si="231">AA646</f>
        <v>43318600</v>
      </c>
      <c r="AD646" s="19">
        <f>AC646/K646*100</f>
        <v>93.844454072790299</v>
      </c>
    </row>
    <row r="647" spans="2:30">
      <c r="B647" s="13">
        <v>2</v>
      </c>
      <c r="C647" s="74" t="s">
        <v>210</v>
      </c>
      <c r="D647" s="74" t="s">
        <v>30</v>
      </c>
      <c r="E647" s="204"/>
      <c r="F647" s="204"/>
      <c r="G647" s="193"/>
      <c r="H647" s="89"/>
      <c r="I647" s="193"/>
      <c r="J647" s="15">
        <v>3850000</v>
      </c>
      <c r="K647" s="99">
        <v>3850000</v>
      </c>
      <c r="L647" s="13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53">
        <f t="shared" si="229"/>
        <v>100</v>
      </c>
      <c r="Z647" s="53">
        <f t="shared" si="230"/>
        <v>100</v>
      </c>
      <c r="AA647" s="22">
        <v>3850000</v>
      </c>
      <c r="AB647" s="19">
        <f t="shared" ref="AB647:AB650" si="232">AA647/K647*100</f>
        <v>100</v>
      </c>
      <c r="AC647" s="53">
        <f t="shared" si="231"/>
        <v>3850000</v>
      </c>
      <c r="AD647" s="19">
        <f t="shared" ref="AD647:AD650" si="233">AC647/K647*100</f>
        <v>100</v>
      </c>
    </row>
    <row r="648" spans="2:30">
      <c r="B648" s="13">
        <f>B647+1</f>
        <v>3</v>
      </c>
      <c r="C648" s="74" t="s">
        <v>204</v>
      </c>
      <c r="D648" s="74" t="s">
        <v>32</v>
      </c>
      <c r="E648" s="204"/>
      <c r="F648" s="204"/>
      <c r="G648" s="193"/>
      <c r="H648" s="89"/>
      <c r="I648" s="193"/>
      <c r="J648" s="15">
        <v>3320000</v>
      </c>
      <c r="K648" s="99">
        <v>3320000</v>
      </c>
      <c r="L648" s="13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53">
        <f t="shared" si="229"/>
        <v>100</v>
      </c>
      <c r="Z648" s="53">
        <f t="shared" si="230"/>
        <v>100</v>
      </c>
      <c r="AA648" s="22">
        <v>3320000</v>
      </c>
      <c r="AB648" s="19">
        <f t="shared" si="232"/>
        <v>100</v>
      </c>
      <c r="AC648" s="53">
        <f t="shared" si="231"/>
        <v>3320000</v>
      </c>
      <c r="AD648" s="19">
        <f t="shared" si="233"/>
        <v>100</v>
      </c>
    </row>
    <row r="649" spans="2:30">
      <c r="B649" s="13">
        <f>B648+1</f>
        <v>4</v>
      </c>
      <c r="C649" s="74" t="s">
        <v>205</v>
      </c>
      <c r="D649" s="74" t="s">
        <v>34</v>
      </c>
      <c r="E649" s="204"/>
      <c r="F649" s="204"/>
      <c r="G649" s="193"/>
      <c r="H649" s="89"/>
      <c r="I649" s="193"/>
      <c r="J649" s="15">
        <v>29500000</v>
      </c>
      <c r="K649" s="99">
        <v>29500000</v>
      </c>
      <c r="L649" s="13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53">
        <f t="shared" si="229"/>
        <v>100</v>
      </c>
      <c r="Z649" s="53">
        <f t="shared" si="230"/>
        <v>100</v>
      </c>
      <c r="AA649" s="22">
        <f>12500000+17000000</f>
        <v>29500000</v>
      </c>
      <c r="AB649" s="19">
        <f t="shared" si="232"/>
        <v>100</v>
      </c>
      <c r="AC649" s="53">
        <f t="shared" si="231"/>
        <v>29500000</v>
      </c>
      <c r="AD649" s="19">
        <f t="shared" si="233"/>
        <v>100</v>
      </c>
    </row>
    <row r="650" spans="2:30">
      <c r="B650" s="13">
        <f>B649+1</f>
        <v>5</v>
      </c>
      <c r="C650" s="81">
        <v>17.015000000000001</v>
      </c>
      <c r="D650" s="21" t="s">
        <v>1737</v>
      </c>
      <c r="E650" s="204"/>
      <c r="F650" s="204"/>
      <c r="G650" s="193"/>
      <c r="H650" s="89"/>
      <c r="I650" s="193"/>
      <c r="J650" s="15">
        <v>50000000</v>
      </c>
      <c r="K650" s="99">
        <v>50000000</v>
      </c>
      <c r="L650" s="13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53">
        <f t="shared" ref="Y650" si="234">AB650</f>
        <v>100</v>
      </c>
      <c r="Z650" s="53">
        <f t="shared" ref="Z650" si="235">AD650</f>
        <v>100</v>
      </c>
      <c r="AA650" s="22">
        <v>50000000</v>
      </c>
      <c r="AB650" s="19">
        <f t="shared" si="232"/>
        <v>100</v>
      </c>
      <c r="AC650" s="53">
        <f t="shared" si="231"/>
        <v>50000000</v>
      </c>
      <c r="AD650" s="19">
        <f t="shared" si="233"/>
        <v>100</v>
      </c>
    </row>
    <row r="651" spans="2:30">
      <c r="B651" s="117">
        <v>87</v>
      </c>
      <c r="C651" s="900" t="s">
        <v>1738</v>
      </c>
      <c r="D651" s="900"/>
      <c r="E651" s="483"/>
      <c r="F651" s="483">
        <v>5</v>
      </c>
      <c r="G651" s="468"/>
      <c r="H651" s="526"/>
      <c r="I651" s="468"/>
      <c r="J651" s="35">
        <f>SUM(J646:J650)</f>
        <v>127000000</v>
      </c>
      <c r="K651" s="35">
        <f>SUM(K646:K650)</f>
        <v>132830000</v>
      </c>
      <c r="L651" s="37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82">
        <f>SUM(Y646:Y650)/5</f>
        <v>98.768890814558063</v>
      </c>
      <c r="Z651" s="82">
        <f>SUM(Z646:Z650)/5</f>
        <v>98.768890814558063</v>
      </c>
      <c r="AA651" s="35">
        <f>SUM(AA646:AA650)</f>
        <v>129988600</v>
      </c>
      <c r="AB651" s="82">
        <f>SUM(AB646:AB650)/5</f>
        <v>98.768890814558063</v>
      </c>
      <c r="AC651" s="35">
        <f>SUM(AC646:AC650)</f>
        <v>129988600</v>
      </c>
      <c r="AD651" s="82">
        <f>SUM(AD646:AD650)/5</f>
        <v>98.768890814558063</v>
      </c>
    </row>
    <row r="652" spans="2:30">
      <c r="B652" s="66"/>
      <c r="C652" s="63" t="s">
        <v>1739</v>
      </c>
      <c r="D652" s="118" t="s">
        <v>1740</v>
      </c>
      <c r="E652" s="484"/>
      <c r="F652" s="484"/>
      <c r="G652" s="472"/>
      <c r="H652" s="242"/>
      <c r="I652" s="472"/>
      <c r="J652" s="65"/>
      <c r="K652" s="65"/>
      <c r="L652" s="66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2:30">
      <c r="B653" s="13">
        <v>1</v>
      </c>
      <c r="C653" s="17" t="s">
        <v>206</v>
      </c>
      <c r="D653" s="348" t="s">
        <v>28</v>
      </c>
      <c r="E653" s="204"/>
      <c r="F653" s="204"/>
      <c r="G653" s="193"/>
      <c r="H653" s="89"/>
      <c r="I653" s="193"/>
      <c r="J653" s="15">
        <v>50560000</v>
      </c>
      <c r="K653" s="99">
        <v>56940000</v>
      </c>
      <c r="L653" s="13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53">
        <v>100</v>
      </c>
      <c r="Z653" s="53">
        <f>AD653</f>
        <v>92.547953986652615</v>
      </c>
      <c r="AA653" s="22">
        <v>52696805</v>
      </c>
      <c r="AB653" s="19">
        <f>AA653/K653*100</f>
        <v>92.547953986652615</v>
      </c>
      <c r="AC653" s="22">
        <f>AA653</f>
        <v>52696805</v>
      </c>
      <c r="AD653" s="19">
        <f>AC653/K653*100</f>
        <v>92.547953986652615</v>
      </c>
    </row>
    <row r="654" spans="2:30">
      <c r="B654" s="13">
        <f>B653+1</f>
        <v>2</v>
      </c>
      <c r="C654" s="17" t="s">
        <v>207</v>
      </c>
      <c r="D654" s="348" t="s">
        <v>30</v>
      </c>
      <c r="E654" s="204"/>
      <c r="F654" s="204"/>
      <c r="G654" s="193"/>
      <c r="H654" s="89"/>
      <c r="I654" s="193"/>
      <c r="J654" s="15">
        <v>8400000</v>
      </c>
      <c r="K654" s="99">
        <v>6600000</v>
      </c>
      <c r="L654" s="13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53">
        <v>100</v>
      </c>
      <c r="Z654" s="53">
        <f t="shared" ref="Z654:Z657" si="236">AD654</f>
        <v>65.909090909090907</v>
      </c>
      <c r="AA654" s="22">
        <v>4350000</v>
      </c>
      <c r="AB654" s="19">
        <f t="shared" ref="AB654:AB657" si="237">AA654/K654*100</f>
        <v>65.909090909090907</v>
      </c>
      <c r="AC654" s="22">
        <f>AA654</f>
        <v>4350000</v>
      </c>
      <c r="AD654" s="19">
        <f t="shared" ref="AD654:AD657" si="238">AC654/K654*100</f>
        <v>65.909090909090907</v>
      </c>
    </row>
    <row r="655" spans="2:30">
      <c r="B655" s="13">
        <f>B654+1</f>
        <v>3</v>
      </c>
      <c r="C655" s="17" t="s">
        <v>208</v>
      </c>
      <c r="D655" s="348" t="s">
        <v>32</v>
      </c>
      <c r="E655" s="204"/>
      <c r="F655" s="204"/>
      <c r="G655" s="193"/>
      <c r="H655" s="89"/>
      <c r="I655" s="193"/>
      <c r="J655" s="15">
        <v>18040000</v>
      </c>
      <c r="K655" s="99">
        <v>18040000</v>
      </c>
      <c r="L655" s="13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53">
        <v>100</v>
      </c>
      <c r="Z655" s="53">
        <f t="shared" si="236"/>
        <v>99.889135254988915</v>
      </c>
      <c r="AA655" s="22">
        <v>18020000</v>
      </c>
      <c r="AB655" s="19">
        <f t="shared" si="237"/>
        <v>99.889135254988915</v>
      </c>
      <c r="AC655" s="22">
        <f>AA655</f>
        <v>18020000</v>
      </c>
      <c r="AD655" s="19">
        <f t="shared" si="238"/>
        <v>99.889135254988915</v>
      </c>
    </row>
    <row r="656" spans="2:30" ht="25.5">
      <c r="B656" s="45">
        <f>B655+1</f>
        <v>4</v>
      </c>
      <c r="C656" s="370">
        <v>17.52</v>
      </c>
      <c r="D656" s="21" t="s">
        <v>1741</v>
      </c>
      <c r="E656" s="489"/>
      <c r="F656" s="489"/>
      <c r="G656" s="240"/>
      <c r="H656" s="186"/>
      <c r="I656" s="240"/>
      <c r="J656" s="15">
        <v>50000000</v>
      </c>
      <c r="K656" s="99">
        <v>50000000</v>
      </c>
      <c r="L656" s="45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53">
        <v>100</v>
      </c>
      <c r="Z656" s="53">
        <f t="shared" si="236"/>
        <v>90.64</v>
      </c>
      <c r="AA656" s="73">
        <v>45320000</v>
      </c>
      <c r="AB656" s="19">
        <f t="shared" si="237"/>
        <v>90.64</v>
      </c>
      <c r="AC656" s="73">
        <f>AA656</f>
        <v>45320000</v>
      </c>
      <c r="AD656" s="19">
        <f t="shared" si="238"/>
        <v>90.64</v>
      </c>
    </row>
    <row r="657" spans="2:30" ht="25.5">
      <c r="B657" s="45">
        <f>B656+1</f>
        <v>5</v>
      </c>
      <c r="C657" s="370">
        <v>17.670000000000002</v>
      </c>
      <c r="D657" s="75" t="s">
        <v>2279</v>
      </c>
      <c r="E657" s="347"/>
      <c r="F657" s="347"/>
      <c r="G657" s="498"/>
      <c r="H657" s="105"/>
      <c r="I657" s="498"/>
      <c r="J657" s="598"/>
      <c r="K657" s="99">
        <v>180000000</v>
      </c>
      <c r="L657" s="47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3">
        <v>100</v>
      </c>
      <c r="Z657" s="53">
        <f t="shared" si="236"/>
        <v>99.722222222222229</v>
      </c>
      <c r="AA657" s="112">
        <v>179500000</v>
      </c>
      <c r="AB657" s="19">
        <f t="shared" si="237"/>
        <v>99.722222222222229</v>
      </c>
      <c r="AC657" s="112">
        <f>AA657</f>
        <v>179500000</v>
      </c>
      <c r="AD657" s="19">
        <f t="shared" si="238"/>
        <v>99.722222222222229</v>
      </c>
    </row>
    <row r="658" spans="2:30">
      <c r="B658" s="37">
        <v>88</v>
      </c>
      <c r="C658" s="900" t="s">
        <v>1742</v>
      </c>
      <c r="D658" s="900"/>
      <c r="E658" s="483"/>
      <c r="F658" s="483">
        <v>5</v>
      </c>
      <c r="G658" s="468"/>
      <c r="H658" s="526"/>
      <c r="I658" s="468"/>
      <c r="J658" s="35">
        <f>SUM(J653:J656)</f>
        <v>127000000</v>
      </c>
      <c r="K658" s="35">
        <f>SUM(K653:K657)</f>
        <v>311580000</v>
      </c>
      <c r="L658" s="37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42">
        <f>SUM(Y653:Y657)/5</f>
        <v>100</v>
      </c>
      <c r="Z658" s="42">
        <f>SUM(Z653:Z657)/5</f>
        <v>89.741680474590936</v>
      </c>
      <c r="AA658" s="67">
        <f>SUM(AA653:AA657)</f>
        <v>299886805</v>
      </c>
      <c r="AB658" s="42">
        <f>SUM(AB653:AB657)/5</f>
        <v>89.741680474590936</v>
      </c>
      <c r="AC658" s="67">
        <f>SUM(AC653:AC657)</f>
        <v>299886805</v>
      </c>
      <c r="AD658" s="42">
        <f>SUM(AD653:AD657)/5</f>
        <v>89.741680474590936</v>
      </c>
    </row>
    <row r="659" spans="2:30">
      <c r="B659" s="66"/>
      <c r="C659" s="119" t="s">
        <v>1743</v>
      </c>
      <c r="D659" s="120" t="s">
        <v>1744</v>
      </c>
      <c r="E659" s="511"/>
      <c r="F659" s="511"/>
      <c r="G659" s="496"/>
      <c r="H659" s="510"/>
      <c r="I659" s="496"/>
      <c r="J659" s="372"/>
      <c r="K659" s="372"/>
      <c r="L659" s="66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371"/>
      <c r="Z659" s="371"/>
      <c r="AA659" s="371"/>
      <c r="AB659" s="371"/>
      <c r="AC659" s="371"/>
      <c r="AD659" s="371"/>
    </row>
    <row r="660" spans="2:30">
      <c r="B660" s="66">
        <v>1</v>
      </c>
      <c r="C660" s="373" t="s">
        <v>206</v>
      </c>
      <c r="D660" s="21" t="s">
        <v>28</v>
      </c>
      <c r="E660" s="511"/>
      <c r="F660" s="511"/>
      <c r="G660" s="496"/>
      <c r="H660" s="510"/>
      <c r="I660" s="496"/>
      <c r="J660" s="15">
        <v>934074000</v>
      </c>
      <c r="K660" s="99">
        <v>1034356000</v>
      </c>
      <c r="L660" s="66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831">
        <v>100</v>
      </c>
      <c r="Z660" s="831">
        <v>100</v>
      </c>
      <c r="AA660" s="99">
        <f>2048130700-AA663</f>
        <v>209115700</v>
      </c>
      <c r="AB660" s="83">
        <f>AA660/K660*100</f>
        <v>20.216994922444499</v>
      </c>
      <c r="AC660" s="833">
        <f>AA660</f>
        <v>209115700</v>
      </c>
      <c r="AD660" s="83">
        <f>AC660/K660*100</f>
        <v>20.216994922444499</v>
      </c>
    </row>
    <row r="661" spans="2:30">
      <c r="B661" s="66">
        <v>2</v>
      </c>
      <c r="C661" s="373" t="s">
        <v>207</v>
      </c>
      <c r="D661" s="21" t="s">
        <v>30</v>
      </c>
      <c r="E661" s="511"/>
      <c r="F661" s="511"/>
      <c r="G661" s="496"/>
      <c r="H661" s="510"/>
      <c r="I661" s="496"/>
      <c r="J661" s="15">
        <v>29817000</v>
      </c>
      <c r="K661" s="99">
        <v>103842000</v>
      </c>
      <c r="L661" s="66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374">
        <f t="shared" ref="Y661:Y662" si="239">AB661</f>
        <v>0</v>
      </c>
      <c r="Z661" s="374">
        <f t="shared" ref="Z661:Z664" si="240">AD661</f>
        <v>0</v>
      </c>
      <c r="AA661" s="374">
        <v>0</v>
      </c>
      <c r="AB661" s="83">
        <f t="shared" ref="AB661:AB666" si="241">AA661/K661*100</f>
        <v>0</v>
      </c>
      <c r="AC661" s="374"/>
      <c r="AD661" s="83">
        <f t="shared" ref="AD661:AD666" si="242">AC661/K661*100</f>
        <v>0</v>
      </c>
    </row>
    <row r="662" spans="2:30">
      <c r="B662" s="66">
        <v>3</v>
      </c>
      <c r="C662" s="373" t="s">
        <v>208</v>
      </c>
      <c r="D662" s="21" t="s">
        <v>32</v>
      </c>
      <c r="E662" s="511"/>
      <c r="F662" s="511"/>
      <c r="G662" s="496"/>
      <c r="H662" s="510"/>
      <c r="I662" s="496"/>
      <c r="J662" s="15">
        <v>20152000</v>
      </c>
      <c r="K662" s="99">
        <v>20652000</v>
      </c>
      <c r="L662" s="66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374">
        <f t="shared" si="239"/>
        <v>0</v>
      </c>
      <c r="Z662" s="374">
        <f t="shared" si="240"/>
        <v>0</v>
      </c>
      <c r="AA662" s="374">
        <v>0</v>
      </c>
      <c r="AB662" s="83">
        <f t="shared" si="241"/>
        <v>0</v>
      </c>
      <c r="AC662" s="374"/>
      <c r="AD662" s="83">
        <f t="shared" si="242"/>
        <v>0</v>
      </c>
    </row>
    <row r="663" spans="2:30">
      <c r="B663" s="66">
        <v>4</v>
      </c>
      <c r="C663" s="373" t="s">
        <v>209</v>
      </c>
      <c r="D663" s="21" t="s">
        <v>34</v>
      </c>
      <c r="E663" s="512"/>
      <c r="F663" s="512"/>
      <c r="G663" s="501"/>
      <c r="H663" s="254"/>
      <c r="I663" s="501"/>
      <c r="J663" s="15">
        <v>1850015000</v>
      </c>
      <c r="K663" s="99">
        <v>1839015000</v>
      </c>
      <c r="L663" s="13"/>
      <c r="M663" s="17"/>
      <c r="N663" s="17"/>
      <c r="O663" s="17"/>
      <c r="P663" s="17"/>
      <c r="Q663" s="17"/>
      <c r="R663" s="63"/>
      <c r="S663" s="63"/>
      <c r="T663" s="63"/>
      <c r="U663" s="63"/>
      <c r="V663" s="63"/>
      <c r="W663" s="63"/>
      <c r="X663" s="63"/>
      <c r="Y663" s="831">
        <v>100</v>
      </c>
      <c r="Z663" s="831">
        <v>100</v>
      </c>
      <c r="AA663" s="99">
        <v>1839015000</v>
      </c>
      <c r="AB663" s="22">
        <f t="shared" si="241"/>
        <v>100</v>
      </c>
      <c r="AC663" s="83">
        <f>AA663</f>
        <v>1839015000</v>
      </c>
      <c r="AD663" s="22">
        <f t="shared" si="242"/>
        <v>100</v>
      </c>
    </row>
    <row r="664" spans="2:30">
      <c r="B664" s="66">
        <v>5</v>
      </c>
      <c r="C664" s="93" t="s">
        <v>1745</v>
      </c>
      <c r="D664" s="93" t="s">
        <v>1746</v>
      </c>
      <c r="E664" s="513"/>
      <c r="F664" s="513"/>
      <c r="G664" s="502"/>
      <c r="H664" s="250"/>
      <c r="I664" s="502"/>
      <c r="J664" s="15">
        <v>1826218000</v>
      </c>
      <c r="K664" s="99">
        <v>1741991000</v>
      </c>
      <c r="L664" s="45"/>
      <c r="M664" s="832"/>
      <c r="N664" s="44"/>
      <c r="O664" s="44"/>
      <c r="P664" s="44"/>
      <c r="Q664" s="44"/>
      <c r="R664" s="51"/>
      <c r="S664" s="51"/>
      <c r="T664" s="51"/>
      <c r="U664" s="51"/>
      <c r="V664" s="51"/>
      <c r="W664" s="51"/>
      <c r="X664" s="51"/>
      <c r="Y664" s="374"/>
      <c r="Z664" s="374">
        <f t="shared" si="240"/>
        <v>0</v>
      </c>
      <c r="AA664" s="375">
        <v>0</v>
      </c>
      <c r="AB664" s="83">
        <f t="shared" si="241"/>
        <v>0</v>
      </c>
      <c r="AC664" s="375">
        <f>AA664</f>
        <v>0</v>
      </c>
      <c r="AD664" s="83">
        <f t="shared" si="242"/>
        <v>0</v>
      </c>
    </row>
    <row r="665" spans="2:30" ht="25.5">
      <c r="B665" s="66">
        <v>6</v>
      </c>
      <c r="C665" s="735" t="s">
        <v>2316</v>
      </c>
      <c r="D665" s="75" t="s">
        <v>2318</v>
      </c>
      <c r="E665" s="736"/>
      <c r="F665" s="736"/>
      <c r="G665" s="737"/>
      <c r="H665" s="738"/>
      <c r="I665" s="737"/>
      <c r="J665" s="598"/>
      <c r="K665" s="99">
        <v>50000000</v>
      </c>
      <c r="L665" s="47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739"/>
      <c r="Z665" s="739"/>
      <c r="AA665" s="638"/>
      <c r="AB665" s="83">
        <f t="shared" si="241"/>
        <v>0</v>
      </c>
      <c r="AC665" s="638"/>
      <c r="AD665" s="83">
        <f t="shared" si="242"/>
        <v>0</v>
      </c>
    </row>
    <row r="666" spans="2:30">
      <c r="B666" s="66">
        <v>7</v>
      </c>
      <c r="C666" s="735" t="s">
        <v>2317</v>
      </c>
      <c r="D666" s="58" t="s">
        <v>2319</v>
      </c>
      <c r="E666" s="736"/>
      <c r="F666" s="736"/>
      <c r="G666" s="737"/>
      <c r="H666" s="738"/>
      <c r="I666" s="737"/>
      <c r="J666" s="598"/>
      <c r="K666" s="99">
        <v>175000000</v>
      </c>
      <c r="L666" s="47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739"/>
      <c r="Z666" s="739"/>
      <c r="AA666" s="638"/>
      <c r="AB666" s="83">
        <f t="shared" si="241"/>
        <v>0</v>
      </c>
      <c r="AC666" s="638"/>
      <c r="AD666" s="83">
        <f t="shared" si="242"/>
        <v>0</v>
      </c>
    </row>
    <row r="667" spans="2:30">
      <c r="B667" s="37">
        <v>89</v>
      </c>
      <c r="C667" s="900" t="s">
        <v>1747</v>
      </c>
      <c r="D667" s="900"/>
      <c r="E667" s="483"/>
      <c r="F667" s="483">
        <v>7</v>
      </c>
      <c r="G667" s="468"/>
      <c r="H667" s="526"/>
      <c r="I667" s="468"/>
      <c r="J667" s="35">
        <f>SUM(J660:J664)</f>
        <v>4660276000</v>
      </c>
      <c r="K667" s="35">
        <f>SUM(K660:K666)</f>
        <v>4964856000</v>
      </c>
      <c r="L667" s="37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42">
        <f>SUM(Y660:Y666)/7</f>
        <v>28.571428571428573</v>
      </c>
      <c r="Z667" s="42">
        <f>SUM(Z660:Z666)/7</f>
        <v>28.571428571428573</v>
      </c>
      <c r="AA667" s="67">
        <f>SUM(AA660:AA666)</f>
        <v>2048130700</v>
      </c>
      <c r="AB667" s="42">
        <f>SUM(AB660:AB664)/7</f>
        <v>17.173856417492072</v>
      </c>
      <c r="AC667" s="67">
        <f>SUM(AC660:AC666)</f>
        <v>2048130700</v>
      </c>
      <c r="AD667" s="42">
        <f>SUM(AD660:AD664)/7</f>
        <v>17.173856417492072</v>
      </c>
    </row>
    <row r="668" spans="2:30">
      <c r="B668" s="113"/>
      <c r="C668" s="376" t="s">
        <v>1748</v>
      </c>
      <c r="D668" s="377" t="s">
        <v>1749</v>
      </c>
      <c r="E668" s="514"/>
      <c r="F668" s="514"/>
      <c r="G668" s="503"/>
      <c r="H668" s="279"/>
      <c r="I668" s="503"/>
      <c r="J668" s="121"/>
      <c r="K668" s="121"/>
      <c r="L668" s="113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378"/>
      <c r="Z668" s="378"/>
      <c r="AA668" s="379"/>
      <c r="AB668" s="378"/>
      <c r="AC668" s="379"/>
      <c r="AD668" s="378"/>
    </row>
    <row r="669" spans="2:30">
      <c r="B669" s="380">
        <v>1</v>
      </c>
      <c r="C669" s="123" t="s">
        <v>206</v>
      </c>
      <c r="D669" s="21" t="s">
        <v>28</v>
      </c>
      <c r="E669" s="515"/>
      <c r="F669" s="515"/>
      <c r="G669" s="504"/>
      <c r="H669" s="580"/>
      <c r="I669" s="504"/>
      <c r="J669" s="15">
        <v>54845000</v>
      </c>
      <c r="K669" s="99">
        <v>60350000</v>
      </c>
      <c r="L669" s="380"/>
      <c r="M669" s="124"/>
      <c r="N669" s="124"/>
      <c r="O669" s="124"/>
      <c r="P669" s="124"/>
      <c r="Q669" s="124"/>
      <c r="R669" s="124"/>
      <c r="S669" s="124"/>
      <c r="T669" s="124"/>
      <c r="U669" s="124"/>
      <c r="V669" s="124"/>
      <c r="W669" s="124"/>
      <c r="X669" s="124"/>
      <c r="Y669" s="843">
        <f>AB669</f>
        <v>97.272197183098598</v>
      </c>
      <c r="Z669" s="843">
        <f>AD669</f>
        <v>97.272197183098598</v>
      </c>
      <c r="AA669" s="844">
        <v>58703771</v>
      </c>
      <c r="AB669" s="843">
        <f>AA669/K669*100</f>
        <v>97.272197183098598</v>
      </c>
      <c r="AC669" s="844">
        <f>AA669</f>
        <v>58703771</v>
      </c>
      <c r="AD669" s="843">
        <f>AC669/K669*100</f>
        <v>97.272197183098598</v>
      </c>
    </row>
    <row r="670" spans="2:30">
      <c r="B670" s="380">
        <v>2</v>
      </c>
      <c r="C670" s="123" t="s">
        <v>207</v>
      </c>
      <c r="D670" s="21" t="s">
        <v>30</v>
      </c>
      <c r="E670" s="515"/>
      <c r="F670" s="515"/>
      <c r="G670" s="504"/>
      <c r="H670" s="580"/>
      <c r="I670" s="504"/>
      <c r="J670" s="15">
        <v>2400000</v>
      </c>
      <c r="K670" s="99">
        <v>2400000</v>
      </c>
      <c r="L670" s="380"/>
      <c r="M670" s="124"/>
      <c r="N670" s="124"/>
      <c r="O670" s="124"/>
      <c r="P670" s="124"/>
      <c r="Q670" s="124"/>
      <c r="R670" s="124"/>
      <c r="S670" s="124"/>
      <c r="T670" s="124"/>
      <c r="U670" s="124"/>
      <c r="V670" s="124"/>
      <c r="W670" s="124"/>
      <c r="X670" s="124"/>
      <c r="Y670" s="843">
        <f t="shared" ref="Y670:Y673" si="243">AB670</f>
        <v>98.75</v>
      </c>
      <c r="Z670" s="843">
        <f t="shared" ref="Z670:Z673" si="244">AD670</f>
        <v>98.75</v>
      </c>
      <c r="AA670" s="844">
        <v>2370000</v>
      </c>
      <c r="AB670" s="843">
        <f t="shared" ref="AB670:AB673" si="245">AA670/K670*100</f>
        <v>98.75</v>
      </c>
      <c r="AC670" s="844">
        <f>AA670</f>
        <v>2370000</v>
      </c>
      <c r="AD670" s="843">
        <f t="shared" ref="AD670:AD673" si="246">AC670/K670*100</f>
        <v>98.75</v>
      </c>
    </row>
    <row r="671" spans="2:30">
      <c r="B671" s="380">
        <v>3</v>
      </c>
      <c r="C671" s="123" t="s">
        <v>208</v>
      </c>
      <c r="D671" s="21" t="s">
        <v>32</v>
      </c>
      <c r="E671" s="515"/>
      <c r="F671" s="515"/>
      <c r="G671" s="504"/>
      <c r="H671" s="580"/>
      <c r="I671" s="504"/>
      <c r="J671" s="15">
        <v>12755000</v>
      </c>
      <c r="K671" s="99">
        <v>12255000</v>
      </c>
      <c r="L671" s="380"/>
      <c r="M671" s="124"/>
      <c r="N671" s="124"/>
      <c r="O671" s="124"/>
      <c r="P671" s="124"/>
      <c r="Q671" s="124"/>
      <c r="R671" s="124"/>
      <c r="S671" s="124"/>
      <c r="T671" s="124"/>
      <c r="U671" s="124"/>
      <c r="V671" s="124"/>
      <c r="W671" s="124"/>
      <c r="X671" s="124"/>
      <c r="Y671" s="843">
        <f t="shared" si="243"/>
        <v>100</v>
      </c>
      <c r="Z671" s="843">
        <f t="shared" si="244"/>
        <v>100</v>
      </c>
      <c r="AA671" s="844">
        <v>12255000</v>
      </c>
      <c r="AB671" s="843">
        <f t="shared" si="245"/>
        <v>100</v>
      </c>
      <c r="AC671" s="844">
        <f>AA671</f>
        <v>12255000</v>
      </c>
      <c r="AD671" s="843">
        <f t="shared" si="246"/>
        <v>100</v>
      </c>
    </row>
    <row r="672" spans="2:30">
      <c r="B672" s="380">
        <v>4</v>
      </c>
      <c r="C672" s="123" t="s">
        <v>209</v>
      </c>
      <c r="D672" s="21" t="s">
        <v>34</v>
      </c>
      <c r="E672" s="515"/>
      <c r="F672" s="515"/>
      <c r="G672" s="504"/>
      <c r="H672" s="580"/>
      <c r="I672" s="504"/>
      <c r="J672" s="15">
        <v>7000000</v>
      </c>
      <c r="K672" s="99">
        <v>7000000</v>
      </c>
      <c r="L672" s="380"/>
      <c r="M672" s="124"/>
      <c r="N672" s="124"/>
      <c r="O672" s="124"/>
      <c r="P672" s="124"/>
      <c r="Q672" s="124"/>
      <c r="R672" s="124"/>
      <c r="S672" s="124"/>
      <c r="T672" s="124"/>
      <c r="U672" s="124"/>
      <c r="V672" s="124"/>
      <c r="W672" s="124"/>
      <c r="X672" s="124"/>
      <c r="Y672" s="843">
        <f t="shared" si="243"/>
        <v>100</v>
      </c>
      <c r="Z672" s="843">
        <f t="shared" si="244"/>
        <v>100</v>
      </c>
      <c r="AA672" s="844">
        <v>7000000</v>
      </c>
      <c r="AB672" s="843">
        <f t="shared" si="245"/>
        <v>100</v>
      </c>
      <c r="AC672" s="844">
        <f>AA672</f>
        <v>7000000</v>
      </c>
      <c r="AD672" s="843">
        <f t="shared" si="246"/>
        <v>100</v>
      </c>
    </row>
    <row r="673" spans="2:31" ht="25.5">
      <c r="B673" s="113">
        <v>5</v>
      </c>
      <c r="C673" s="373" t="s">
        <v>1750</v>
      </c>
      <c r="D673" s="125" t="s">
        <v>1751</v>
      </c>
      <c r="E673" s="514"/>
      <c r="F673" s="514"/>
      <c r="G673" s="503"/>
      <c r="H673" s="279"/>
      <c r="I673" s="503"/>
      <c r="J673" s="126">
        <v>25000000</v>
      </c>
      <c r="K673" s="99">
        <v>25000000</v>
      </c>
      <c r="L673" s="113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381">
        <f t="shared" si="243"/>
        <v>100</v>
      </c>
      <c r="Z673" s="381">
        <f t="shared" si="244"/>
        <v>100</v>
      </c>
      <c r="AA673" s="379">
        <v>25000000</v>
      </c>
      <c r="AB673" s="381">
        <f t="shared" si="245"/>
        <v>100</v>
      </c>
      <c r="AC673" s="379">
        <f>AA673</f>
        <v>25000000</v>
      </c>
      <c r="AD673" s="381">
        <f t="shared" si="246"/>
        <v>100</v>
      </c>
    </row>
    <row r="674" spans="2:31">
      <c r="B674" s="37">
        <v>90</v>
      </c>
      <c r="C674" s="900" t="s">
        <v>1752</v>
      </c>
      <c r="D674" s="900"/>
      <c r="E674" s="483"/>
      <c r="F674" s="483">
        <v>5</v>
      </c>
      <c r="G674" s="468"/>
      <c r="H674" s="526"/>
      <c r="I674" s="468"/>
      <c r="J674" s="35">
        <f>SUM(J669:J673)</f>
        <v>102000000</v>
      </c>
      <c r="K674" s="35">
        <f>SUM(K669:K673)</f>
        <v>107005000</v>
      </c>
      <c r="L674" s="37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42">
        <f>SUM(Y669:Y673)/5</f>
        <v>99.204439436619708</v>
      </c>
      <c r="Z674" s="42">
        <f>SUM(Z669:Z673)/5</f>
        <v>99.204439436619708</v>
      </c>
      <c r="AA674" s="42">
        <f>SUM(AA669:AA673)</f>
        <v>105328771</v>
      </c>
      <c r="AB674" s="42">
        <f>SUM(AB669:AB673)/5</f>
        <v>99.204439436619708</v>
      </c>
      <c r="AC674" s="42">
        <f>SUM(AC669:AC673)</f>
        <v>105328771</v>
      </c>
      <c r="AD674" s="42">
        <f>SUM(AD669:AD673)/5</f>
        <v>99.204439436619708</v>
      </c>
    </row>
    <row r="675" spans="2:31">
      <c r="B675" s="113"/>
      <c r="C675" s="376" t="s">
        <v>1753</v>
      </c>
      <c r="D675" s="383" t="s">
        <v>1754</v>
      </c>
      <c r="E675" s="514"/>
      <c r="F675" s="514"/>
      <c r="G675" s="503"/>
      <c r="H675" s="279"/>
      <c r="I675" s="503"/>
      <c r="J675" s="121"/>
      <c r="K675" s="121"/>
      <c r="L675" s="113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378"/>
      <c r="Z675" s="378"/>
      <c r="AA675" s="379"/>
      <c r="AB675" s="378"/>
      <c r="AC675" s="379"/>
      <c r="AD675" s="378"/>
    </row>
    <row r="676" spans="2:31">
      <c r="B676" s="380">
        <v>1</v>
      </c>
      <c r="C676" s="123" t="s">
        <v>206</v>
      </c>
      <c r="D676" s="21" t="s">
        <v>28</v>
      </c>
      <c r="E676" s="515"/>
      <c r="F676" s="515"/>
      <c r="G676" s="504"/>
      <c r="H676" s="580"/>
      <c r="I676" s="504"/>
      <c r="J676" s="15">
        <v>42995000</v>
      </c>
      <c r="K676" s="99">
        <v>47910000</v>
      </c>
      <c r="L676" s="380"/>
      <c r="M676" s="124"/>
      <c r="N676" s="124"/>
      <c r="O676" s="124"/>
      <c r="P676" s="124"/>
      <c r="Q676" s="124"/>
      <c r="R676" s="124"/>
      <c r="S676" s="124"/>
      <c r="T676" s="124"/>
      <c r="U676" s="124"/>
      <c r="V676" s="124"/>
      <c r="W676" s="124"/>
      <c r="X676" s="124"/>
      <c r="Y676" s="657">
        <f>AB676</f>
        <v>93.235276560217073</v>
      </c>
      <c r="Z676" s="657">
        <f>AB676</f>
        <v>93.235276560217073</v>
      </c>
      <c r="AA676" s="99">
        <v>44669021</v>
      </c>
      <c r="AB676" s="657">
        <f>AA676/K676*100</f>
        <v>93.235276560217073</v>
      </c>
      <c r="AC676" s="382"/>
      <c r="AD676" s="657">
        <f>AC676/K676*100</f>
        <v>0</v>
      </c>
      <c r="AE676" s="384"/>
    </row>
    <row r="677" spans="2:31">
      <c r="B677" s="380">
        <v>2</v>
      </c>
      <c r="C677" s="123" t="s">
        <v>207</v>
      </c>
      <c r="D677" s="21" t="s">
        <v>30</v>
      </c>
      <c r="E677" s="515"/>
      <c r="F677" s="515"/>
      <c r="G677" s="504"/>
      <c r="H677" s="580"/>
      <c r="I677" s="504"/>
      <c r="J677" s="15">
        <v>3000000</v>
      </c>
      <c r="K677" s="99">
        <v>3000000</v>
      </c>
      <c r="L677" s="380"/>
      <c r="M677" s="124"/>
      <c r="N677" s="124"/>
      <c r="O677" s="124"/>
      <c r="P677" s="124"/>
      <c r="Q677" s="124"/>
      <c r="R677" s="124"/>
      <c r="S677" s="124"/>
      <c r="T677" s="124"/>
      <c r="U677" s="124"/>
      <c r="V677" s="124"/>
      <c r="W677" s="124"/>
      <c r="X677" s="124"/>
      <c r="Y677" s="657">
        <f t="shared" ref="Y677:Y682" si="247">AB677</f>
        <v>69</v>
      </c>
      <c r="Z677" s="657">
        <f t="shared" ref="Z677:Z680" si="248">AB677</f>
        <v>69</v>
      </c>
      <c r="AA677" s="99">
        <v>2070000</v>
      </c>
      <c r="AB677" s="657">
        <f t="shared" ref="AB677:AB682" si="249">AA677/K677*100</f>
        <v>69</v>
      </c>
      <c r="AC677" s="382"/>
      <c r="AD677" s="657">
        <f t="shared" ref="AD677:AD682" si="250">AC677/K677*100</f>
        <v>0</v>
      </c>
      <c r="AE677" s="384"/>
    </row>
    <row r="678" spans="2:31">
      <c r="B678" s="380">
        <v>3</v>
      </c>
      <c r="C678" s="123" t="s">
        <v>208</v>
      </c>
      <c r="D678" s="21" t="s">
        <v>32</v>
      </c>
      <c r="E678" s="515"/>
      <c r="F678" s="515"/>
      <c r="G678" s="504"/>
      <c r="H678" s="580"/>
      <c r="I678" s="504"/>
      <c r="J678" s="15">
        <v>19605000</v>
      </c>
      <c r="K678" s="99">
        <v>19605000</v>
      </c>
      <c r="L678" s="380"/>
      <c r="M678" s="124"/>
      <c r="N678" s="124"/>
      <c r="O678" s="124"/>
      <c r="P678" s="124"/>
      <c r="Q678" s="124"/>
      <c r="R678" s="124"/>
      <c r="S678" s="124"/>
      <c r="T678" s="124"/>
      <c r="U678" s="124"/>
      <c r="V678" s="124"/>
      <c r="W678" s="124"/>
      <c r="X678" s="124"/>
      <c r="Y678" s="657">
        <f t="shared" si="247"/>
        <v>100</v>
      </c>
      <c r="Z678" s="657">
        <f t="shared" si="248"/>
        <v>100</v>
      </c>
      <c r="AA678" s="99">
        <v>19605000</v>
      </c>
      <c r="AB678" s="657">
        <f t="shared" si="249"/>
        <v>100</v>
      </c>
      <c r="AC678" s="382"/>
      <c r="AD678" s="657">
        <f t="shared" si="250"/>
        <v>0</v>
      </c>
      <c r="AE678" s="384"/>
    </row>
    <row r="679" spans="2:31">
      <c r="B679" s="380">
        <v>4</v>
      </c>
      <c r="C679" s="123" t="s">
        <v>209</v>
      </c>
      <c r="D679" s="21" t="s">
        <v>34</v>
      </c>
      <c r="E679" s="515"/>
      <c r="F679" s="515"/>
      <c r="G679" s="504"/>
      <c r="H679" s="580"/>
      <c r="I679" s="504"/>
      <c r="J679" s="15">
        <v>11400000</v>
      </c>
      <c r="K679" s="99">
        <v>11400000</v>
      </c>
      <c r="L679" s="380"/>
      <c r="M679" s="124"/>
      <c r="N679" s="124"/>
      <c r="O679" s="124"/>
      <c r="P679" s="124"/>
      <c r="Q679" s="124"/>
      <c r="R679" s="124"/>
      <c r="S679" s="124"/>
      <c r="T679" s="124"/>
      <c r="U679" s="124"/>
      <c r="V679" s="124"/>
      <c r="W679" s="124"/>
      <c r="X679" s="124"/>
      <c r="Y679" s="657">
        <f t="shared" si="247"/>
        <v>100</v>
      </c>
      <c r="Z679" s="657">
        <f t="shared" si="248"/>
        <v>100</v>
      </c>
      <c r="AA679" s="99">
        <v>11400000</v>
      </c>
      <c r="AB679" s="657">
        <f t="shared" si="249"/>
        <v>100</v>
      </c>
      <c r="AC679" s="382"/>
      <c r="AD679" s="657">
        <f t="shared" si="250"/>
        <v>0</v>
      </c>
      <c r="AE679" s="384"/>
    </row>
    <row r="680" spans="2:31">
      <c r="B680" s="380">
        <v>5</v>
      </c>
      <c r="C680" s="123" t="s">
        <v>1755</v>
      </c>
      <c r="D680" s="21" t="s">
        <v>1737</v>
      </c>
      <c r="E680" s="515"/>
      <c r="F680" s="515"/>
      <c r="G680" s="504"/>
      <c r="H680" s="580"/>
      <c r="I680" s="504"/>
      <c r="J680" s="15">
        <v>50000000</v>
      </c>
      <c r="K680" s="99">
        <v>50000000</v>
      </c>
      <c r="L680" s="380"/>
      <c r="M680" s="124"/>
      <c r="N680" s="124"/>
      <c r="O680" s="124"/>
      <c r="P680" s="124"/>
      <c r="Q680" s="124"/>
      <c r="R680" s="124"/>
      <c r="S680" s="124"/>
      <c r="T680" s="124"/>
      <c r="U680" s="124"/>
      <c r="V680" s="124"/>
      <c r="W680" s="124"/>
      <c r="X680" s="124"/>
      <c r="Y680" s="657">
        <f t="shared" si="247"/>
        <v>94.679999999999993</v>
      </c>
      <c r="Z680" s="657">
        <f t="shared" si="248"/>
        <v>94.679999999999993</v>
      </c>
      <c r="AA680" s="99">
        <v>47340000</v>
      </c>
      <c r="AB680" s="657">
        <f t="shared" si="249"/>
        <v>94.679999999999993</v>
      </c>
      <c r="AC680" s="382"/>
      <c r="AD680" s="657">
        <f t="shared" si="250"/>
        <v>0</v>
      </c>
      <c r="AE680" s="384"/>
    </row>
    <row r="681" spans="2:31">
      <c r="B681" s="380">
        <v>6</v>
      </c>
      <c r="C681" s="123" t="s">
        <v>1756</v>
      </c>
      <c r="D681" s="21" t="s">
        <v>1757</v>
      </c>
      <c r="E681" s="515"/>
      <c r="F681" s="515"/>
      <c r="G681" s="504"/>
      <c r="H681" s="580"/>
      <c r="I681" s="504"/>
      <c r="J681" s="15">
        <v>126000000</v>
      </c>
      <c r="K681" s="99">
        <v>126000000</v>
      </c>
      <c r="L681" s="380"/>
      <c r="M681" s="124"/>
      <c r="N681" s="124"/>
      <c r="O681" s="124"/>
      <c r="P681" s="124"/>
      <c r="Q681" s="124"/>
      <c r="R681" s="124"/>
      <c r="S681" s="124"/>
      <c r="T681" s="124"/>
      <c r="U681" s="124"/>
      <c r="V681" s="124"/>
      <c r="W681" s="124"/>
      <c r="X681" s="124"/>
      <c r="Y681" s="657">
        <f t="shared" si="247"/>
        <v>99.202380952380949</v>
      </c>
      <c r="Z681" s="657">
        <f>AB681</f>
        <v>99.202380952380949</v>
      </c>
      <c r="AA681" s="99">
        <v>124995000</v>
      </c>
      <c r="AB681" s="657">
        <f t="shared" si="249"/>
        <v>99.202380952380949</v>
      </c>
      <c r="AC681" s="382"/>
      <c r="AD681" s="657">
        <f t="shared" si="250"/>
        <v>0</v>
      </c>
      <c r="AE681" s="384"/>
    </row>
    <row r="682" spans="2:31">
      <c r="B682" s="113">
        <v>7</v>
      </c>
      <c r="C682" s="373" t="s">
        <v>1758</v>
      </c>
      <c r="D682" s="125" t="s">
        <v>1759</v>
      </c>
      <c r="E682" s="514"/>
      <c r="F682" s="514"/>
      <c r="G682" s="503"/>
      <c r="H682" s="279"/>
      <c r="I682" s="503"/>
      <c r="J682" s="126">
        <v>200000000</v>
      </c>
      <c r="K682" s="99">
        <v>200000000</v>
      </c>
      <c r="L682" s="113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657">
        <f t="shared" si="247"/>
        <v>99.48</v>
      </c>
      <c r="Z682" s="657">
        <f>AB682</f>
        <v>99.48</v>
      </c>
      <c r="AA682" s="99">
        <v>198960000</v>
      </c>
      <c r="AB682" s="657">
        <f t="shared" si="249"/>
        <v>99.48</v>
      </c>
      <c r="AC682" s="379"/>
      <c r="AD682" s="657">
        <f t="shared" si="250"/>
        <v>0</v>
      </c>
      <c r="AE682" s="384"/>
    </row>
    <row r="683" spans="2:31">
      <c r="B683" s="37">
        <v>91</v>
      </c>
      <c r="C683" s="900" t="s">
        <v>1760</v>
      </c>
      <c r="D683" s="900"/>
      <c r="E683" s="483"/>
      <c r="F683" s="483">
        <v>7</v>
      </c>
      <c r="G683" s="468"/>
      <c r="H683" s="526"/>
      <c r="I683" s="468"/>
      <c r="J683" s="35">
        <f>SUM(J676:J682)</f>
        <v>453000000</v>
      </c>
      <c r="K683" s="35">
        <f>SUM(K676:K682)</f>
        <v>457915000</v>
      </c>
      <c r="L683" s="37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42">
        <f>SUM(Y676:Y682)/7</f>
        <v>93.656808216085437</v>
      </c>
      <c r="Z683" s="42">
        <f>SUM(Z676:Z682)/7</f>
        <v>93.656808216085437</v>
      </c>
      <c r="AA683" s="42">
        <f>SUM(AA676:AA682)</f>
        <v>449039021</v>
      </c>
      <c r="AB683" s="42">
        <f>SUM(AB676:AB682)/7</f>
        <v>93.656808216085437</v>
      </c>
      <c r="AC683" s="42">
        <f>SUM(AC676:AC682)</f>
        <v>0</v>
      </c>
      <c r="AD683" s="42">
        <f>SUM(AD676:AD682)/7</f>
        <v>0</v>
      </c>
      <c r="AE683" s="384"/>
    </row>
    <row r="684" spans="2:31">
      <c r="B684" s="113"/>
      <c r="C684" s="376" t="s">
        <v>1761</v>
      </c>
      <c r="D684" s="383" t="s">
        <v>1762</v>
      </c>
      <c r="E684" s="514"/>
      <c r="F684" s="514"/>
      <c r="G684" s="503"/>
      <c r="H684" s="279"/>
      <c r="I684" s="503"/>
      <c r="J684" s="121"/>
      <c r="K684" s="121"/>
      <c r="L684" s="113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378"/>
      <c r="Z684" s="378"/>
      <c r="AA684" s="379"/>
      <c r="AB684" s="378"/>
      <c r="AC684" s="379"/>
      <c r="AD684" s="378"/>
      <c r="AE684" s="384"/>
    </row>
    <row r="685" spans="2:31">
      <c r="B685" s="380">
        <v>1</v>
      </c>
      <c r="C685" s="123" t="s">
        <v>206</v>
      </c>
      <c r="D685" s="21" t="s">
        <v>28</v>
      </c>
      <c r="E685" s="515"/>
      <c r="F685" s="515"/>
      <c r="G685" s="504"/>
      <c r="H685" s="580"/>
      <c r="I685" s="504"/>
      <c r="J685" s="15">
        <v>53175000</v>
      </c>
      <c r="K685" s="99">
        <v>58180000</v>
      </c>
      <c r="L685" s="380"/>
      <c r="M685" s="124"/>
      <c r="N685" s="124"/>
      <c r="O685" s="124"/>
      <c r="P685" s="124"/>
      <c r="Q685" s="124"/>
      <c r="R685" s="124"/>
      <c r="S685" s="124"/>
      <c r="T685" s="124"/>
      <c r="U685" s="124"/>
      <c r="V685" s="124"/>
      <c r="W685" s="124"/>
      <c r="X685" s="124"/>
      <c r="Y685" s="838">
        <f>AB685</f>
        <v>74.515256101753181</v>
      </c>
      <c r="Z685" s="838">
        <f>AD685</f>
        <v>74.515256101753181</v>
      </c>
      <c r="AA685" s="99">
        <v>43352976</v>
      </c>
      <c r="AB685" s="838">
        <f>AA685/K685*100</f>
        <v>74.515256101753181</v>
      </c>
      <c r="AC685" s="839">
        <f>AA685</f>
        <v>43352976</v>
      </c>
      <c r="AD685" s="657">
        <f t="shared" ref="AD685:AD688" si="251">AC685/K685*100</f>
        <v>74.515256101753181</v>
      </c>
      <c r="AE685" s="384"/>
    </row>
    <row r="686" spans="2:31">
      <c r="B686" s="380">
        <v>2</v>
      </c>
      <c r="C686" s="123" t="s">
        <v>207</v>
      </c>
      <c r="D686" s="21" t="s">
        <v>30</v>
      </c>
      <c r="E686" s="515"/>
      <c r="F686" s="515"/>
      <c r="G686" s="504"/>
      <c r="H686" s="580"/>
      <c r="I686" s="504"/>
      <c r="J686" s="15">
        <v>2400000</v>
      </c>
      <c r="K686" s="99">
        <v>2400000</v>
      </c>
      <c r="L686" s="380"/>
      <c r="M686" s="124"/>
      <c r="N686" s="124"/>
      <c r="O686" s="124"/>
      <c r="P686" s="124"/>
      <c r="Q686" s="124"/>
      <c r="R686" s="124"/>
      <c r="S686" s="124"/>
      <c r="T686" s="124"/>
      <c r="U686" s="124"/>
      <c r="V686" s="124"/>
      <c r="W686" s="124"/>
      <c r="X686" s="124"/>
      <c r="Y686" s="838">
        <f t="shared" ref="Y686:Y688" si="252">AB686</f>
        <v>100</v>
      </c>
      <c r="Z686" s="838">
        <f t="shared" ref="Z686:Z688" si="253">AD686</f>
        <v>100</v>
      </c>
      <c r="AA686" s="99">
        <v>2400000</v>
      </c>
      <c r="AB686" s="838">
        <f t="shared" ref="AB686:AB688" si="254">AA686/K686*100</f>
        <v>100</v>
      </c>
      <c r="AC686" s="839">
        <f t="shared" ref="AC686:AC688" si="255">AA686</f>
        <v>2400000</v>
      </c>
      <c r="AD686" s="657">
        <f t="shared" si="251"/>
        <v>100</v>
      </c>
      <c r="AE686" s="384"/>
    </row>
    <row r="687" spans="2:31">
      <c r="B687" s="380">
        <v>3</v>
      </c>
      <c r="C687" s="123" t="s">
        <v>208</v>
      </c>
      <c r="D687" s="21" t="s">
        <v>32</v>
      </c>
      <c r="E687" s="515"/>
      <c r="F687" s="515"/>
      <c r="G687" s="504"/>
      <c r="H687" s="580"/>
      <c r="I687" s="504"/>
      <c r="J687" s="15">
        <v>14425000</v>
      </c>
      <c r="K687" s="99">
        <v>14425000</v>
      </c>
      <c r="L687" s="380"/>
      <c r="M687" s="124"/>
      <c r="N687" s="124"/>
      <c r="O687" s="124"/>
      <c r="P687" s="124"/>
      <c r="Q687" s="124"/>
      <c r="R687" s="124"/>
      <c r="S687" s="124"/>
      <c r="T687" s="124"/>
      <c r="U687" s="124"/>
      <c r="V687" s="124"/>
      <c r="W687" s="124"/>
      <c r="X687" s="124"/>
      <c r="Y687" s="838">
        <f t="shared" si="252"/>
        <v>100</v>
      </c>
      <c r="Z687" s="838">
        <f t="shared" si="253"/>
        <v>100</v>
      </c>
      <c r="AA687" s="99">
        <v>14425000</v>
      </c>
      <c r="AB687" s="838">
        <f t="shared" si="254"/>
        <v>100</v>
      </c>
      <c r="AC687" s="839">
        <f t="shared" si="255"/>
        <v>14425000</v>
      </c>
      <c r="AD687" s="657">
        <f t="shared" si="251"/>
        <v>100</v>
      </c>
      <c r="AE687" s="384"/>
    </row>
    <row r="688" spans="2:31">
      <c r="B688" s="380">
        <v>4</v>
      </c>
      <c r="C688" s="123" t="s">
        <v>209</v>
      </c>
      <c r="D688" s="21" t="s">
        <v>34</v>
      </c>
      <c r="E688" s="515"/>
      <c r="F688" s="515"/>
      <c r="G688" s="504"/>
      <c r="H688" s="580"/>
      <c r="I688" s="504"/>
      <c r="J688" s="15">
        <v>7000000</v>
      </c>
      <c r="K688" s="99">
        <v>7000000</v>
      </c>
      <c r="L688" s="380"/>
      <c r="M688" s="124"/>
      <c r="N688" s="124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838">
        <f t="shared" si="252"/>
        <v>100</v>
      </c>
      <c r="Z688" s="838">
        <f t="shared" si="253"/>
        <v>100</v>
      </c>
      <c r="AA688" s="99">
        <v>7000000</v>
      </c>
      <c r="AB688" s="838">
        <f t="shared" si="254"/>
        <v>100</v>
      </c>
      <c r="AC688" s="839">
        <f t="shared" si="255"/>
        <v>7000000</v>
      </c>
      <c r="AD688" s="657">
        <f t="shared" si="251"/>
        <v>100</v>
      </c>
      <c r="AE688" s="384"/>
    </row>
    <row r="689" spans="2:31" ht="25.5">
      <c r="B689" s="113">
        <v>5</v>
      </c>
      <c r="C689" s="373" t="s">
        <v>1763</v>
      </c>
      <c r="D689" s="125" t="s">
        <v>1764</v>
      </c>
      <c r="E689" s="514"/>
      <c r="F689" s="514"/>
      <c r="G689" s="503"/>
      <c r="H689" s="279"/>
      <c r="I689" s="503"/>
      <c r="J689" s="126">
        <v>10000000</v>
      </c>
      <c r="K689" s="99">
        <v>10000000</v>
      </c>
      <c r="L689" s="113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838">
        <f>AB689</f>
        <v>100</v>
      </c>
      <c r="Z689" s="838">
        <f>AD689</f>
        <v>100</v>
      </c>
      <c r="AA689" s="839">
        <v>10000000</v>
      </c>
      <c r="AB689" s="838">
        <f>AA689/K689*100</f>
        <v>100</v>
      </c>
      <c r="AC689" s="839">
        <f>AA689</f>
        <v>10000000</v>
      </c>
      <c r="AD689" s="657">
        <f t="shared" ref="AD689" si="256">AC689/K689*100</f>
        <v>100</v>
      </c>
      <c r="AE689" s="384"/>
    </row>
    <row r="690" spans="2:31">
      <c r="B690" s="37">
        <v>92</v>
      </c>
      <c r="C690" s="900" t="s">
        <v>1765</v>
      </c>
      <c r="D690" s="900"/>
      <c r="E690" s="483"/>
      <c r="F690" s="483">
        <v>5</v>
      </c>
      <c r="G690" s="468"/>
      <c r="H690" s="526"/>
      <c r="I690" s="468"/>
      <c r="J690" s="35">
        <f>SUM(J685:J689)</f>
        <v>87000000</v>
      </c>
      <c r="K690" s="35">
        <f>SUM(K685:K689)</f>
        <v>92005000</v>
      </c>
      <c r="L690" s="37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42">
        <f>SUM(Y685:Y689)/5</f>
        <v>94.903051220350633</v>
      </c>
      <c r="Z690" s="42">
        <f>SUM(Z685:Z689)/5</f>
        <v>94.903051220350633</v>
      </c>
      <c r="AA690" s="67">
        <f>SUM(AA685:AA689)</f>
        <v>77177976</v>
      </c>
      <c r="AB690" s="42">
        <f>SUM(AB685:AB689)/5</f>
        <v>94.903051220350633</v>
      </c>
      <c r="AC690" s="42">
        <f>SUM(AC685:AC689)</f>
        <v>77177976</v>
      </c>
      <c r="AD690" s="42">
        <f>SUM(AD685:AD689)/5</f>
        <v>94.903051220350633</v>
      </c>
      <c r="AE690" s="384"/>
    </row>
    <row r="691" spans="2:31">
      <c r="B691" s="66"/>
      <c r="C691" s="63" t="s">
        <v>213</v>
      </c>
      <c r="D691" s="118" t="s">
        <v>214</v>
      </c>
      <c r="E691" s="484"/>
      <c r="F691" s="668"/>
      <c r="G691" s="654"/>
      <c r="H691" s="581">
        <v>1</v>
      </c>
      <c r="I691" s="654" t="s">
        <v>1845</v>
      </c>
      <c r="J691" s="127"/>
      <c r="K691" s="65"/>
      <c r="L691" s="66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384"/>
    </row>
    <row r="692" spans="2:31" ht="27">
      <c r="B692" s="13"/>
      <c r="C692" s="86" t="s">
        <v>213</v>
      </c>
      <c r="D692" s="86" t="s">
        <v>26</v>
      </c>
      <c r="E692" s="485"/>
      <c r="F692" s="478"/>
      <c r="G692" s="529"/>
      <c r="H692" s="582"/>
      <c r="I692" s="529"/>
      <c r="J692" s="16"/>
      <c r="K692" s="25"/>
      <c r="L692" s="13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</row>
    <row r="693" spans="2:31" ht="14.25" customHeight="1">
      <c r="B693" s="13">
        <f>B691+1</f>
        <v>1</v>
      </c>
      <c r="C693" s="74" t="s">
        <v>203</v>
      </c>
      <c r="D693" s="74" t="s">
        <v>28</v>
      </c>
      <c r="E693" s="204"/>
      <c r="F693" s="491">
        <v>1</v>
      </c>
      <c r="G693" s="741" t="s">
        <v>1845</v>
      </c>
      <c r="H693" s="583"/>
      <c r="I693" s="530"/>
      <c r="J693" s="15">
        <v>257414000</v>
      </c>
      <c r="K693" s="99">
        <v>580554000</v>
      </c>
      <c r="L693" s="13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9">
        <v>100</v>
      </c>
      <c r="Z693" s="19">
        <v>76</v>
      </c>
      <c r="AA693" s="22">
        <v>440706354</v>
      </c>
      <c r="AB693" s="98">
        <f>AA693/K693*100</f>
        <v>75.911345714610519</v>
      </c>
      <c r="AC693" s="20">
        <f>AA693</f>
        <v>440706354</v>
      </c>
      <c r="AD693" s="98">
        <f>AC693/K693*100</f>
        <v>75.911345714610519</v>
      </c>
    </row>
    <row r="694" spans="2:31" ht="17.25" customHeight="1">
      <c r="B694" s="13">
        <f t="shared" ref="B694:B764" si="257">B693+1</f>
        <v>2</v>
      </c>
      <c r="C694" s="74" t="s">
        <v>210</v>
      </c>
      <c r="D694" s="74" t="s">
        <v>30</v>
      </c>
      <c r="E694" s="204"/>
      <c r="F694" s="491">
        <v>1</v>
      </c>
      <c r="G694" s="741" t="s">
        <v>1845</v>
      </c>
      <c r="H694" s="583"/>
      <c r="I694" s="530"/>
      <c r="J694" s="15">
        <v>206615000</v>
      </c>
      <c r="K694" s="99">
        <v>220000000</v>
      </c>
      <c r="L694" s="13"/>
      <c r="M694" s="17" t="s">
        <v>1</v>
      </c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9">
        <v>100</v>
      </c>
      <c r="Z694" s="19">
        <v>84</v>
      </c>
      <c r="AA694" s="22">
        <v>184117880</v>
      </c>
      <c r="AB694" s="98">
        <f t="shared" ref="AB694:AB757" si="258">AA694/K694*100</f>
        <v>83.689945454545452</v>
      </c>
      <c r="AC694" s="20">
        <f t="shared" ref="AC694:AC762" si="259">AA694</f>
        <v>184117880</v>
      </c>
      <c r="AD694" s="98">
        <f t="shared" ref="AD694:AD757" si="260">AC694/K694*100</f>
        <v>83.689945454545452</v>
      </c>
    </row>
    <row r="695" spans="2:31" ht="17.25" customHeight="1">
      <c r="B695" s="13">
        <f t="shared" si="257"/>
        <v>3</v>
      </c>
      <c r="C695" s="74" t="s">
        <v>204</v>
      </c>
      <c r="D695" s="74" t="s">
        <v>32</v>
      </c>
      <c r="E695" s="204"/>
      <c r="F695" s="491">
        <v>1</v>
      </c>
      <c r="G695" s="741" t="s">
        <v>1845</v>
      </c>
      <c r="H695" s="583"/>
      <c r="I695" s="530"/>
      <c r="J695" s="15">
        <v>397958000</v>
      </c>
      <c r="K695" s="99">
        <v>407958000</v>
      </c>
      <c r="L695" s="13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9">
        <v>100</v>
      </c>
      <c r="Z695" s="19">
        <v>68</v>
      </c>
      <c r="AA695" s="22">
        <v>277956296</v>
      </c>
      <c r="AB695" s="98">
        <f t="shared" si="258"/>
        <v>68.133556885757855</v>
      </c>
      <c r="AC695" s="20">
        <f t="shared" si="259"/>
        <v>277956296</v>
      </c>
      <c r="AD695" s="98">
        <f t="shared" si="260"/>
        <v>68.133556885757855</v>
      </c>
    </row>
    <row r="696" spans="2:31" ht="16.5" customHeight="1">
      <c r="B696" s="13">
        <f t="shared" si="257"/>
        <v>4</v>
      </c>
      <c r="C696" s="74" t="s">
        <v>205</v>
      </c>
      <c r="D696" s="74" t="s">
        <v>34</v>
      </c>
      <c r="E696" s="204"/>
      <c r="F696" s="491">
        <v>1</v>
      </c>
      <c r="G696" s="741" t="s">
        <v>1845</v>
      </c>
      <c r="H696" s="583"/>
      <c r="I696" s="530"/>
      <c r="J696" s="15">
        <v>72675000</v>
      </c>
      <c r="K696" s="99">
        <v>128875000</v>
      </c>
      <c r="L696" s="13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9">
        <v>100</v>
      </c>
      <c r="Z696" s="19">
        <v>97</v>
      </c>
      <c r="AA696" s="22">
        <v>124825000</v>
      </c>
      <c r="AB696" s="98">
        <f t="shared" si="258"/>
        <v>96.85741998060135</v>
      </c>
      <c r="AC696" s="20">
        <f t="shared" si="259"/>
        <v>124825000</v>
      </c>
      <c r="AD696" s="98">
        <f t="shared" si="260"/>
        <v>96.85741998060135</v>
      </c>
    </row>
    <row r="697" spans="2:31" ht="15.75" customHeight="1">
      <c r="B697" s="13">
        <f t="shared" si="257"/>
        <v>5</v>
      </c>
      <c r="C697" s="74" t="s">
        <v>215</v>
      </c>
      <c r="D697" s="74" t="s">
        <v>36</v>
      </c>
      <c r="E697" s="204"/>
      <c r="F697" s="491">
        <v>1</v>
      </c>
      <c r="G697" s="741" t="s">
        <v>1845</v>
      </c>
      <c r="H697" s="583"/>
      <c r="I697" s="530"/>
      <c r="J697" s="15">
        <v>15000000</v>
      </c>
      <c r="K697" s="99">
        <v>25000000</v>
      </c>
      <c r="L697" s="13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9">
        <v>100</v>
      </c>
      <c r="Z697" s="19">
        <v>100</v>
      </c>
      <c r="AA697" s="22">
        <v>24715200</v>
      </c>
      <c r="AB697" s="98">
        <f t="shared" si="258"/>
        <v>98.860799999999998</v>
      </c>
      <c r="AC697" s="20">
        <f t="shared" si="259"/>
        <v>24715200</v>
      </c>
      <c r="AD697" s="98">
        <f t="shared" si="260"/>
        <v>98.860799999999998</v>
      </c>
    </row>
    <row r="698" spans="2:31" ht="25.5">
      <c r="B698" s="13">
        <v>6</v>
      </c>
      <c r="C698" s="74" t="s">
        <v>216</v>
      </c>
      <c r="D698" s="21" t="s">
        <v>38</v>
      </c>
      <c r="E698" s="204"/>
      <c r="F698" s="491">
        <v>1</v>
      </c>
      <c r="G698" s="741" t="s">
        <v>1845</v>
      </c>
      <c r="H698" s="583"/>
      <c r="I698" s="530"/>
      <c r="J698" s="15">
        <v>10000000</v>
      </c>
      <c r="K698" s="99">
        <v>10000000</v>
      </c>
      <c r="L698" s="13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9">
        <v>100</v>
      </c>
      <c r="Z698" s="19">
        <v>100</v>
      </c>
      <c r="AA698" s="22">
        <v>9762000</v>
      </c>
      <c r="AB698" s="98">
        <f t="shared" si="258"/>
        <v>97.61999999999999</v>
      </c>
      <c r="AC698" s="20">
        <f t="shared" si="259"/>
        <v>9762000</v>
      </c>
      <c r="AD698" s="98">
        <f t="shared" si="260"/>
        <v>97.61999999999999</v>
      </c>
    </row>
    <row r="699" spans="2:31" ht="27">
      <c r="B699" s="13"/>
      <c r="C699" s="86" t="s">
        <v>217</v>
      </c>
      <c r="D699" s="86" t="s">
        <v>218</v>
      </c>
      <c r="E699" s="485"/>
      <c r="F699" s="491"/>
      <c r="G699" s="740"/>
      <c r="H699" s="582"/>
      <c r="I699" s="529"/>
      <c r="J699" s="16"/>
      <c r="K699" s="25"/>
      <c r="L699" s="13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9"/>
      <c r="Z699" s="19"/>
      <c r="AA699" s="22"/>
      <c r="AB699" s="98"/>
      <c r="AC699" s="20"/>
      <c r="AD699" s="98"/>
    </row>
    <row r="700" spans="2:31" ht="25.5">
      <c r="B700" s="13">
        <v>7</v>
      </c>
      <c r="C700" s="21" t="s">
        <v>219</v>
      </c>
      <c r="D700" s="21" t="s">
        <v>220</v>
      </c>
      <c r="E700" s="486"/>
      <c r="F700" s="491">
        <v>1</v>
      </c>
      <c r="G700" s="741" t="s">
        <v>1845</v>
      </c>
      <c r="H700" s="578"/>
      <c r="I700" s="473"/>
      <c r="J700" s="15">
        <v>1547625000</v>
      </c>
      <c r="K700" s="99">
        <v>1547625000</v>
      </c>
      <c r="L700" s="13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9">
        <v>100</v>
      </c>
      <c r="Z700" s="19">
        <v>94</v>
      </c>
      <c r="AA700" s="22">
        <v>1450530923</v>
      </c>
      <c r="AB700" s="98">
        <f t="shared" si="258"/>
        <v>93.726253000565379</v>
      </c>
      <c r="AC700" s="20">
        <f t="shared" si="259"/>
        <v>1450530923</v>
      </c>
      <c r="AD700" s="98">
        <f t="shared" si="260"/>
        <v>93.726253000565379</v>
      </c>
    </row>
    <row r="701" spans="2:31" ht="22.5">
      <c r="B701" s="13">
        <f t="shared" si="257"/>
        <v>8</v>
      </c>
      <c r="C701" s="21" t="s">
        <v>221</v>
      </c>
      <c r="D701" s="21" t="s">
        <v>222</v>
      </c>
      <c r="E701" s="204"/>
      <c r="F701" s="491">
        <v>1</v>
      </c>
      <c r="G701" s="741" t="s">
        <v>1845</v>
      </c>
      <c r="H701" s="583"/>
      <c r="I701" s="530"/>
      <c r="J701" s="15">
        <v>18275000</v>
      </c>
      <c r="K701" s="99">
        <v>18275000</v>
      </c>
      <c r="L701" s="13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9">
        <v>100</v>
      </c>
      <c r="Z701" s="19">
        <v>100</v>
      </c>
      <c r="AA701" s="22">
        <v>18275000</v>
      </c>
      <c r="AB701" s="98">
        <f t="shared" si="258"/>
        <v>100</v>
      </c>
      <c r="AC701" s="20">
        <f t="shared" si="259"/>
        <v>18275000</v>
      </c>
      <c r="AD701" s="98">
        <f t="shared" si="260"/>
        <v>100</v>
      </c>
    </row>
    <row r="702" spans="2:31" ht="22.5">
      <c r="B702" s="13">
        <f t="shared" si="257"/>
        <v>9</v>
      </c>
      <c r="C702" s="129">
        <v>15.005000000000001</v>
      </c>
      <c r="D702" s="21" t="s">
        <v>223</v>
      </c>
      <c r="E702" s="204"/>
      <c r="F702" s="491">
        <v>1</v>
      </c>
      <c r="G702" s="741" t="s">
        <v>1845</v>
      </c>
      <c r="H702" s="583"/>
      <c r="I702" s="530"/>
      <c r="J702" s="15">
        <v>61087000</v>
      </c>
      <c r="K702" s="99">
        <v>61087000</v>
      </c>
      <c r="L702" s="13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9">
        <v>100</v>
      </c>
      <c r="Z702" s="19">
        <v>97</v>
      </c>
      <c r="AA702" s="22">
        <v>58925000</v>
      </c>
      <c r="AB702" s="98">
        <f t="shared" si="258"/>
        <v>96.460785437163395</v>
      </c>
      <c r="AC702" s="20">
        <f t="shared" si="259"/>
        <v>58925000</v>
      </c>
      <c r="AD702" s="98">
        <f t="shared" si="260"/>
        <v>96.460785437163395</v>
      </c>
    </row>
    <row r="703" spans="2:31" ht="25.5">
      <c r="B703" s="13">
        <f t="shared" si="257"/>
        <v>10</v>
      </c>
      <c r="C703" s="129">
        <v>15.006</v>
      </c>
      <c r="D703" s="75" t="s">
        <v>2320</v>
      </c>
      <c r="E703" s="204"/>
      <c r="F703" s="491">
        <v>1</v>
      </c>
      <c r="G703" s="741" t="s">
        <v>1845</v>
      </c>
      <c r="H703" s="583"/>
      <c r="I703" s="530"/>
      <c r="J703" s="15"/>
      <c r="K703" s="99">
        <v>299729000</v>
      </c>
      <c r="L703" s="13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9">
        <v>100</v>
      </c>
      <c r="Z703" s="19">
        <v>100</v>
      </c>
      <c r="AA703" s="22">
        <v>298349935</v>
      </c>
      <c r="AB703" s="98">
        <f t="shared" si="258"/>
        <v>99.539896039422288</v>
      </c>
      <c r="AC703" s="20">
        <f t="shared" si="259"/>
        <v>298349935</v>
      </c>
      <c r="AD703" s="98">
        <f t="shared" si="260"/>
        <v>99.539896039422288</v>
      </c>
    </row>
    <row r="704" spans="2:31" ht="27">
      <c r="B704" s="13"/>
      <c r="C704" s="86" t="s">
        <v>224</v>
      </c>
      <c r="D704" s="86" t="s">
        <v>225</v>
      </c>
      <c r="E704" s="485"/>
      <c r="F704" s="491"/>
      <c r="G704" s="741"/>
      <c r="H704" s="582"/>
      <c r="I704" s="529"/>
      <c r="J704" s="130"/>
      <c r="K704" s="25"/>
      <c r="L704" s="13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9"/>
      <c r="Z704" s="19"/>
      <c r="AA704" s="22"/>
      <c r="AB704" s="98"/>
      <c r="AC704" s="20"/>
      <c r="AD704" s="98"/>
    </row>
    <row r="705" spans="2:30" ht="22.5">
      <c r="B705" s="13">
        <f>B703+1</f>
        <v>11</v>
      </c>
      <c r="C705" s="123" t="s">
        <v>226</v>
      </c>
      <c r="D705" s="21" t="s">
        <v>227</v>
      </c>
      <c r="E705" s="204"/>
      <c r="F705" s="491">
        <v>1</v>
      </c>
      <c r="G705" s="741" t="s">
        <v>1845</v>
      </c>
      <c r="H705" s="583"/>
      <c r="I705" s="530"/>
      <c r="J705" s="15">
        <v>197800000</v>
      </c>
      <c r="K705" s="99">
        <v>197800000</v>
      </c>
      <c r="L705" s="13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9">
        <v>100</v>
      </c>
      <c r="Z705" s="19">
        <v>99</v>
      </c>
      <c r="AA705" s="22">
        <v>195570000</v>
      </c>
      <c r="AB705" s="98">
        <f t="shared" si="258"/>
        <v>98.872598584428715</v>
      </c>
      <c r="AC705" s="20">
        <f t="shared" si="259"/>
        <v>195570000</v>
      </c>
      <c r="AD705" s="98">
        <f t="shared" si="260"/>
        <v>98.872598584428715</v>
      </c>
    </row>
    <row r="706" spans="2:30" ht="25.5">
      <c r="B706" s="13">
        <f t="shared" si="257"/>
        <v>12</v>
      </c>
      <c r="C706" s="123" t="s">
        <v>228</v>
      </c>
      <c r="D706" s="21" t="s">
        <v>229</v>
      </c>
      <c r="E706" s="204"/>
      <c r="F706" s="491">
        <v>1</v>
      </c>
      <c r="G706" s="741" t="s">
        <v>1845</v>
      </c>
      <c r="H706" s="583"/>
      <c r="I706" s="530"/>
      <c r="J706" s="15">
        <v>7500000</v>
      </c>
      <c r="K706" s="99">
        <v>7500000</v>
      </c>
      <c r="L706" s="13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9">
        <v>100</v>
      </c>
      <c r="Z706" s="19">
        <v>100</v>
      </c>
      <c r="AA706" s="22">
        <v>7460000</v>
      </c>
      <c r="AB706" s="98">
        <f t="shared" si="258"/>
        <v>99.466666666666669</v>
      </c>
      <c r="AC706" s="20">
        <f t="shared" si="259"/>
        <v>7460000</v>
      </c>
      <c r="AD706" s="98">
        <f t="shared" si="260"/>
        <v>99.466666666666669</v>
      </c>
    </row>
    <row r="707" spans="2:30" ht="22.5">
      <c r="B707" s="13">
        <f t="shared" si="257"/>
        <v>13</v>
      </c>
      <c r="C707" s="123" t="s">
        <v>230</v>
      </c>
      <c r="D707" s="21" t="s">
        <v>231</v>
      </c>
      <c r="E707" s="204"/>
      <c r="F707" s="491">
        <v>1</v>
      </c>
      <c r="G707" s="741" t="s">
        <v>1845</v>
      </c>
      <c r="H707" s="583"/>
      <c r="I707" s="530"/>
      <c r="J707" s="15">
        <v>11700000</v>
      </c>
      <c r="K707" s="99">
        <v>11700000</v>
      </c>
      <c r="L707" s="13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9">
        <v>100</v>
      </c>
      <c r="Z707" s="19">
        <v>90</v>
      </c>
      <c r="AA707" s="22">
        <v>11700000</v>
      </c>
      <c r="AB707" s="98">
        <f t="shared" si="258"/>
        <v>100</v>
      </c>
      <c r="AC707" s="20">
        <f t="shared" si="259"/>
        <v>11700000</v>
      </c>
      <c r="AD707" s="98">
        <f t="shared" si="260"/>
        <v>100</v>
      </c>
    </row>
    <row r="708" spans="2:30" ht="22.5">
      <c r="B708" s="13">
        <f t="shared" si="257"/>
        <v>14</v>
      </c>
      <c r="C708" s="123" t="s">
        <v>232</v>
      </c>
      <c r="D708" s="21" t="s">
        <v>233</v>
      </c>
      <c r="E708" s="204"/>
      <c r="F708" s="491">
        <v>1</v>
      </c>
      <c r="G708" s="741" t="s">
        <v>1845</v>
      </c>
      <c r="H708" s="583"/>
      <c r="I708" s="530"/>
      <c r="J708" s="15">
        <v>7500000</v>
      </c>
      <c r="K708" s="99">
        <v>7500000</v>
      </c>
      <c r="L708" s="13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9">
        <v>100</v>
      </c>
      <c r="Z708" s="19">
        <v>99</v>
      </c>
      <c r="AA708" s="22">
        <v>7420000</v>
      </c>
      <c r="AB708" s="98">
        <f t="shared" si="258"/>
        <v>98.933333333333323</v>
      </c>
      <c r="AC708" s="20">
        <f t="shared" si="259"/>
        <v>7420000</v>
      </c>
      <c r="AD708" s="98">
        <f t="shared" si="260"/>
        <v>98.933333333333323</v>
      </c>
    </row>
    <row r="709" spans="2:30" ht="22.5">
      <c r="B709" s="13">
        <f t="shared" si="257"/>
        <v>15</v>
      </c>
      <c r="C709" s="123" t="s">
        <v>234</v>
      </c>
      <c r="D709" s="21" t="s">
        <v>235</v>
      </c>
      <c r="E709" s="204"/>
      <c r="F709" s="491">
        <v>1</v>
      </c>
      <c r="G709" s="741" t="s">
        <v>1845</v>
      </c>
      <c r="H709" s="583"/>
      <c r="I709" s="530"/>
      <c r="J709" s="15">
        <v>23300000</v>
      </c>
      <c r="K709" s="99">
        <v>23300000</v>
      </c>
      <c r="L709" s="13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9">
        <v>100</v>
      </c>
      <c r="Z709" s="19">
        <v>94</v>
      </c>
      <c r="AA709" s="22">
        <v>21970000</v>
      </c>
      <c r="AB709" s="98">
        <f t="shared" si="258"/>
        <v>94.291845493562235</v>
      </c>
      <c r="AC709" s="20">
        <f t="shared" si="259"/>
        <v>21970000</v>
      </c>
      <c r="AD709" s="98">
        <f t="shared" si="260"/>
        <v>94.291845493562235</v>
      </c>
    </row>
    <row r="710" spans="2:30" ht="27">
      <c r="B710" s="13"/>
      <c r="C710" s="86" t="s">
        <v>236</v>
      </c>
      <c r="D710" s="86" t="s">
        <v>237</v>
      </c>
      <c r="E710" s="485"/>
      <c r="F710" s="491"/>
      <c r="G710" s="741"/>
      <c r="H710" s="582"/>
      <c r="I710" s="529"/>
      <c r="J710" s="130"/>
      <c r="K710" s="25"/>
      <c r="L710" s="13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9"/>
      <c r="Z710" s="19"/>
      <c r="AA710" s="22"/>
      <c r="AB710" s="98"/>
      <c r="AC710" s="20"/>
      <c r="AD710" s="98"/>
    </row>
    <row r="711" spans="2:30" ht="22.5">
      <c r="B711" s="13">
        <v>16</v>
      </c>
      <c r="C711" s="74" t="s">
        <v>238</v>
      </c>
      <c r="D711" s="74" t="s">
        <v>239</v>
      </c>
      <c r="E711" s="204"/>
      <c r="F711" s="491">
        <v>1</v>
      </c>
      <c r="G711" s="741" t="s">
        <v>1845</v>
      </c>
      <c r="H711" s="583"/>
      <c r="I711" s="530"/>
      <c r="J711" s="15">
        <v>13680000</v>
      </c>
      <c r="K711" s="99">
        <v>13680000</v>
      </c>
      <c r="L711" s="13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9">
        <v>100</v>
      </c>
      <c r="Z711" s="19">
        <v>100</v>
      </c>
      <c r="AA711" s="22">
        <v>13680000</v>
      </c>
      <c r="AB711" s="98">
        <f t="shared" si="258"/>
        <v>100</v>
      </c>
      <c r="AC711" s="20">
        <f>AA711</f>
        <v>13680000</v>
      </c>
      <c r="AD711" s="98">
        <f t="shared" si="260"/>
        <v>100</v>
      </c>
    </row>
    <row r="712" spans="2:30" ht="22.5">
      <c r="B712" s="13">
        <f t="shared" si="257"/>
        <v>17</v>
      </c>
      <c r="C712" s="74" t="s">
        <v>240</v>
      </c>
      <c r="D712" s="74" t="s">
        <v>241</v>
      </c>
      <c r="E712" s="204"/>
      <c r="F712" s="491">
        <v>1</v>
      </c>
      <c r="G712" s="741" t="s">
        <v>1845</v>
      </c>
      <c r="H712" s="583"/>
      <c r="I712" s="530"/>
      <c r="J712" s="15">
        <v>19060000</v>
      </c>
      <c r="K712" s="99">
        <v>25919000</v>
      </c>
      <c r="L712" s="13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9">
        <v>100</v>
      </c>
      <c r="Z712" s="19">
        <v>94</v>
      </c>
      <c r="AA712" s="22">
        <v>24305000</v>
      </c>
      <c r="AB712" s="98">
        <f t="shared" si="258"/>
        <v>93.772907905397588</v>
      </c>
      <c r="AC712" s="20">
        <f t="shared" si="259"/>
        <v>24305000</v>
      </c>
      <c r="AD712" s="98">
        <f t="shared" si="260"/>
        <v>93.772907905397588</v>
      </c>
    </row>
    <row r="713" spans="2:30" ht="27">
      <c r="B713" s="13">
        <f t="shared" si="257"/>
        <v>18</v>
      </c>
      <c r="C713" s="74" t="s">
        <v>242</v>
      </c>
      <c r="D713" s="74" t="s">
        <v>243</v>
      </c>
      <c r="E713" s="204"/>
      <c r="F713" s="491">
        <v>1</v>
      </c>
      <c r="G713" s="741" t="s">
        <v>1845</v>
      </c>
      <c r="H713" s="583"/>
      <c r="I713" s="530"/>
      <c r="J713" s="15">
        <v>7500000</v>
      </c>
      <c r="K713" s="99">
        <v>7500000</v>
      </c>
      <c r="L713" s="13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9">
        <v>100</v>
      </c>
      <c r="Z713" s="19">
        <v>100</v>
      </c>
      <c r="AA713" s="22">
        <v>7500000</v>
      </c>
      <c r="AB713" s="98">
        <f t="shared" si="258"/>
        <v>100</v>
      </c>
      <c r="AC713" s="20">
        <f t="shared" si="259"/>
        <v>7500000</v>
      </c>
      <c r="AD713" s="98">
        <f t="shared" si="260"/>
        <v>100</v>
      </c>
    </row>
    <row r="714" spans="2:30" ht="22.5">
      <c r="B714" s="13">
        <f t="shared" si="257"/>
        <v>19</v>
      </c>
      <c r="C714" s="74" t="s">
        <v>244</v>
      </c>
      <c r="D714" s="74" t="s">
        <v>245</v>
      </c>
      <c r="E714" s="204"/>
      <c r="F714" s="491">
        <v>1</v>
      </c>
      <c r="G714" s="741" t="s">
        <v>1845</v>
      </c>
      <c r="H714" s="583"/>
      <c r="I714" s="530"/>
      <c r="J714" s="15">
        <v>66000000</v>
      </c>
      <c r="K714" s="99">
        <v>68671000</v>
      </c>
      <c r="L714" s="13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9">
        <v>100</v>
      </c>
      <c r="Z714" s="19">
        <v>90</v>
      </c>
      <c r="AA714" s="22">
        <v>61538800</v>
      </c>
      <c r="AB714" s="98">
        <f t="shared" si="258"/>
        <v>89.613956400809656</v>
      </c>
      <c r="AC714" s="20">
        <f t="shared" si="259"/>
        <v>61538800</v>
      </c>
      <c r="AD714" s="98">
        <f t="shared" si="260"/>
        <v>89.613956400809656</v>
      </c>
    </row>
    <row r="715" spans="2:30" ht="38.25">
      <c r="B715" s="13">
        <f t="shared" si="257"/>
        <v>20</v>
      </c>
      <c r="C715" s="74" t="s">
        <v>246</v>
      </c>
      <c r="D715" s="21" t="s">
        <v>2401</v>
      </c>
      <c r="E715" s="204"/>
      <c r="F715" s="491">
        <v>1</v>
      </c>
      <c r="G715" s="741" t="s">
        <v>1845</v>
      </c>
      <c r="H715" s="583"/>
      <c r="I715" s="530"/>
      <c r="J715" s="15">
        <v>20000000</v>
      </c>
      <c r="K715" s="99">
        <v>10470000</v>
      </c>
      <c r="L715" s="13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9">
        <v>100</v>
      </c>
      <c r="Z715" s="19">
        <v>75</v>
      </c>
      <c r="AA715" s="22">
        <v>7870000</v>
      </c>
      <c r="AB715" s="98">
        <f t="shared" si="258"/>
        <v>75.167144221585474</v>
      </c>
      <c r="AC715" s="20">
        <f>AA715</f>
        <v>7870000</v>
      </c>
      <c r="AD715" s="98">
        <f t="shared" si="260"/>
        <v>75.167144221585474</v>
      </c>
    </row>
    <row r="716" spans="2:30" ht="30.75" customHeight="1">
      <c r="B716" s="13">
        <f t="shared" si="257"/>
        <v>21</v>
      </c>
      <c r="C716" s="74" t="s">
        <v>247</v>
      </c>
      <c r="D716" s="21" t="s">
        <v>248</v>
      </c>
      <c r="E716" s="204"/>
      <c r="F716" s="491">
        <v>1</v>
      </c>
      <c r="G716" s="741" t="s">
        <v>1845</v>
      </c>
      <c r="H716" s="583"/>
      <c r="I716" s="530"/>
      <c r="J716" s="15">
        <v>15000000</v>
      </c>
      <c r="K716" s="99">
        <v>15000000</v>
      </c>
      <c r="L716" s="13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9">
        <v>100</v>
      </c>
      <c r="Z716" s="19">
        <v>100</v>
      </c>
      <c r="AA716" s="22">
        <v>14960000</v>
      </c>
      <c r="AB716" s="98">
        <f t="shared" si="258"/>
        <v>99.733333333333334</v>
      </c>
      <c r="AC716" s="20">
        <f>AA716</f>
        <v>14960000</v>
      </c>
      <c r="AD716" s="98">
        <f t="shared" si="260"/>
        <v>99.733333333333334</v>
      </c>
    </row>
    <row r="717" spans="2:30" ht="32.25" customHeight="1">
      <c r="B717" s="13"/>
      <c r="C717" s="86" t="s">
        <v>249</v>
      </c>
      <c r="D717" s="86" t="s">
        <v>250</v>
      </c>
      <c r="E717" s="485"/>
      <c r="F717" s="491"/>
      <c r="G717" s="741"/>
      <c r="H717" s="582"/>
      <c r="I717" s="529"/>
      <c r="J717" s="130"/>
      <c r="K717" s="25"/>
      <c r="L717" s="13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9"/>
      <c r="Z717" s="19"/>
      <c r="AA717" s="22"/>
      <c r="AB717" s="98"/>
      <c r="AC717" s="20"/>
      <c r="AD717" s="98"/>
    </row>
    <row r="718" spans="2:30" ht="22.5">
      <c r="B718" s="13">
        <v>22</v>
      </c>
      <c r="C718" s="74" t="s">
        <v>251</v>
      </c>
      <c r="D718" s="74" t="s">
        <v>252</v>
      </c>
      <c r="E718" s="204"/>
      <c r="F718" s="491">
        <v>1</v>
      </c>
      <c r="G718" s="741" t="s">
        <v>1845</v>
      </c>
      <c r="H718" s="583"/>
      <c r="I718" s="530"/>
      <c r="J718" s="15">
        <v>1191416000</v>
      </c>
      <c r="K718" s="99">
        <v>1191416000</v>
      </c>
      <c r="L718" s="13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9">
        <v>100</v>
      </c>
      <c r="Z718" s="19">
        <v>43</v>
      </c>
      <c r="AA718" s="22">
        <v>510177985</v>
      </c>
      <c r="AB718" s="98">
        <f t="shared" si="258"/>
        <v>42.821146014490317</v>
      </c>
      <c r="AC718" s="20">
        <f t="shared" si="259"/>
        <v>510177985</v>
      </c>
      <c r="AD718" s="98">
        <f t="shared" si="260"/>
        <v>42.821146014490317</v>
      </c>
    </row>
    <row r="719" spans="2:30" ht="22.5">
      <c r="B719" s="13">
        <f t="shared" si="257"/>
        <v>23</v>
      </c>
      <c r="C719" s="74" t="s">
        <v>253</v>
      </c>
      <c r="D719" s="74" t="s">
        <v>254</v>
      </c>
      <c r="E719" s="204"/>
      <c r="F719" s="491">
        <v>1</v>
      </c>
      <c r="G719" s="741" t="s">
        <v>1845</v>
      </c>
      <c r="H719" s="583"/>
      <c r="I719" s="530"/>
      <c r="J719" s="15">
        <v>17095000</v>
      </c>
      <c r="K719" s="99">
        <v>317408000</v>
      </c>
      <c r="L719" s="13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9">
        <v>100</v>
      </c>
      <c r="Z719" s="19">
        <v>97</v>
      </c>
      <c r="AA719" s="22">
        <v>306821750</v>
      </c>
      <c r="AB719" s="98">
        <f t="shared" si="258"/>
        <v>96.66478160600866</v>
      </c>
      <c r="AC719" s="20">
        <f t="shared" si="259"/>
        <v>306821750</v>
      </c>
      <c r="AD719" s="98">
        <f t="shared" si="260"/>
        <v>96.66478160600866</v>
      </c>
    </row>
    <row r="720" spans="2:30" ht="22.5">
      <c r="B720" s="13">
        <f t="shared" si="257"/>
        <v>24</v>
      </c>
      <c r="C720" s="74" t="s">
        <v>255</v>
      </c>
      <c r="D720" s="74" t="s">
        <v>256</v>
      </c>
      <c r="E720" s="204"/>
      <c r="F720" s="491">
        <v>1</v>
      </c>
      <c r="G720" s="741" t="s">
        <v>1845</v>
      </c>
      <c r="H720" s="583"/>
      <c r="I720" s="530"/>
      <c r="J720" s="15">
        <v>30000000</v>
      </c>
      <c r="K720" s="99">
        <v>30000000</v>
      </c>
      <c r="L720" s="13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9">
        <v>100</v>
      </c>
      <c r="Z720" s="19">
        <v>94</v>
      </c>
      <c r="AA720" s="22">
        <v>28185500</v>
      </c>
      <c r="AB720" s="98">
        <v>5</v>
      </c>
      <c r="AC720" s="20">
        <f t="shared" si="259"/>
        <v>28185500</v>
      </c>
      <c r="AD720" s="98">
        <f t="shared" si="260"/>
        <v>93.951666666666668</v>
      </c>
    </row>
    <row r="721" spans="2:30" ht="27">
      <c r="B721" s="13">
        <f t="shared" si="257"/>
        <v>25</v>
      </c>
      <c r="C721" s="74" t="s">
        <v>257</v>
      </c>
      <c r="D721" s="74" t="s">
        <v>258</v>
      </c>
      <c r="E721" s="204"/>
      <c r="F721" s="491">
        <v>1</v>
      </c>
      <c r="G721" s="741" t="s">
        <v>1845</v>
      </c>
      <c r="H721" s="583"/>
      <c r="I721" s="530"/>
      <c r="J721" s="15">
        <v>72000000</v>
      </c>
      <c r="K721" s="99">
        <v>73710000</v>
      </c>
      <c r="L721" s="13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9">
        <v>100</v>
      </c>
      <c r="Z721" s="19">
        <v>99</v>
      </c>
      <c r="AA721" s="22">
        <v>72606700</v>
      </c>
      <c r="AB721" s="98">
        <f t="shared" si="258"/>
        <v>98.503188169854837</v>
      </c>
      <c r="AC721" s="20">
        <f t="shared" si="259"/>
        <v>72606700</v>
      </c>
      <c r="AD721" s="98">
        <f t="shared" si="260"/>
        <v>98.503188169854837</v>
      </c>
    </row>
    <row r="722" spans="2:30" ht="25.5" customHeight="1">
      <c r="B722" s="13">
        <f t="shared" si="257"/>
        <v>26</v>
      </c>
      <c r="C722" s="74" t="s">
        <v>259</v>
      </c>
      <c r="D722" s="74" t="s">
        <v>260</v>
      </c>
      <c r="E722" s="204"/>
      <c r="F722" s="491">
        <v>1</v>
      </c>
      <c r="G722" s="741" t="s">
        <v>1845</v>
      </c>
      <c r="H722" s="583"/>
      <c r="I722" s="530"/>
      <c r="J722" s="15">
        <v>35479000</v>
      </c>
      <c r="K722" s="99">
        <v>35479000</v>
      </c>
      <c r="L722" s="13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9">
        <v>100</v>
      </c>
      <c r="Z722" s="19">
        <v>97</v>
      </c>
      <c r="AA722" s="22">
        <v>34549000</v>
      </c>
      <c r="AB722" s="98">
        <f t="shared" si="258"/>
        <v>97.378731080357397</v>
      </c>
      <c r="AC722" s="20">
        <f t="shared" si="259"/>
        <v>34549000</v>
      </c>
      <c r="AD722" s="98">
        <f t="shared" si="260"/>
        <v>97.378731080357397</v>
      </c>
    </row>
    <row r="723" spans="2:30" ht="35.25" customHeight="1">
      <c r="B723" s="13">
        <f t="shared" si="257"/>
        <v>27</v>
      </c>
      <c r="C723" s="74" t="s">
        <v>261</v>
      </c>
      <c r="D723" s="74" t="s">
        <v>262</v>
      </c>
      <c r="E723" s="204"/>
      <c r="F723" s="491">
        <v>1</v>
      </c>
      <c r="G723" s="741" t="s">
        <v>1845</v>
      </c>
      <c r="H723" s="583"/>
      <c r="I723" s="530"/>
      <c r="J723" s="15">
        <v>30727000</v>
      </c>
      <c r="K723" s="99">
        <v>72027000</v>
      </c>
      <c r="L723" s="13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9">
        <v>100</v>
      </c>
      <c r="Z723" s="19">
        <v>97</v>
      </c>
      <c r="AA723" s="22">
        <v>70173250</v>
      </c>
      <c r="AB723" s="98">
        <f t="shared" si="258"/>
        <v>97.426312355089067</v>
      </c>
      <c r="AC723" s="20">
        <f t="shared" si="259"/>
        <v>70173250</v>
      </c>
      <c r="AD723" s="98">
        <f t="shared" si="260"/>
        <v>97.426312355089067</v>
      </c>
    </row>
    <row r="724" spans="2:30" ht="22.5">
      <c r="B724" s="13">
        <f t="shared" si="257"/>
        <v>28</v>
      </c>
      <c r="C724" s="74" t="s">
        <v>263</v>
      </c>
      <c r="D724" s="74" t="s">
        <v>264</v>
      </c>
      <c r="E724" s="204"/>
      <c r="F724" s="491">
        <v>1</v>
      </c>
      <c r="G724" s="741" t="s">
        <v>1845</v>
      </c>
      <c r="H724" s="583"/>
      <c r="I724" s="530"/>
      <c r="J724" s="15">
        <v>4800000</v>
      </c>
      <c r="K724" s="99">
        <v>7868000</v>
      </c>
      <c r="L724" s="13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31">
        <v>100</v>
      </c>
      <c r="Z724" s="131">
        <v>100</v>
      </c>
      <c r="AA724" s="22">
        <v>7645000</v>
      </c>
      <c r="AB724" s="98">
        <f t="shared" si="258"/>
        <v>97.165734621250635</v>
      </c>
      <c r="AC724" s="20">
        <f t="shared" si="259"/>
        <v>7645000</v>
      </c>
      <c r="AD724" s="98">
        <f t="shared" si="260"/>
        <v>97.165734621250635</v>
      </c>
    </row>
    <row r="725" spans="2:30" ht="25.5" customHeight="1">
      <c r="B725" s="13">
        <f t="shared" si="257"/>
        <v>29</v>
      </c>
      <c r="C725" s="74" t="s">
        <v>265</v>
      </c>
      <c r="D725" s="74" t="s">
        <v>266</v>
      </c>
      <c r="E725" s="204"/>
      <c r="F725" s="491">
        <v>1</v>
      </c>
      <c r="G725" s="741" t="s">
        <v>1845</v>
      </c>
      <c r="H725" s="583"/>
      <c r="I725" s="530"/>
      <c r="J725" s="15">
        <v>421126000</v>
      </c>
      <c r="K725" s="99">
        <v>248907000</v>
      </c>
      <c r="L725" s="13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9">
        <v>100</v>
      </c>
      <c r="Z725" s="19">
        <v>99</v>
      </c>
      <c r="AA725" s="22">
        <v>247115500</v>
      </c>
      <c r="AB725" s="98">
        <f t="shared" si="258"/>
        <v>99.280253267284564</v>
      </c>
      <c r="AC725" s="20">
        <f t="shared" si="259"/>
        <v>247115500</v>
      </c>
      <c r="AD725" s="98">
        <f t="shared" si="260"/>
        <v>99.280253267284564</v>
      </c>
    </row>
    <row r="726" spans="2:30" ht="27.75" customHeight="1">
      <c r="B726" s="13">
        <f t="shared" si="257"/>
        <v>30</v>
      </c>
      <c r="C726" s="74" t="s">
        <v>267</v>
      </c>
      <c r="D726" s="74" t="s">
        <v>268</v>
      </c>
      <c r="E726" s="204"/>
      <c r="F726" s="491">
        <v>1</v>
      </c>
      <c r="G726" s="741" t="s">
        <v>1845</v>
      </c>
      <c r="H726" s="583"/>
      <c r="I726" s="530"/>
      <c r="J726" s="15">
        <v>9000000</v>
      </c>
      <c r="K726" s="99">
        <v>9000000</v>
      </c>
      <c r="L726" s="13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9">
        <v>100</v>
      </c>
      <c r="Z726" s="19">
        <v>97</v>
      </c>
      <c r="AA726" s="22">
        <v>8690000</v>
      </c>
      <c r="AB726" s="98">
        <f t="shared" si="258"/>
        <v>96.555555555555543</v>
      </c>
      <c r="AC726" s="20">
        <f t="shared" si="259"/>
        <v>8690000</v>
      </c>
      <c r="AD726" s="98">
        <f t="shared" si="260"/>
        <v>96.555555555555543</v>
      </c>
    </row>
    <row r="727" spans="2:30" ht="27">
      <c r="B727" s="13"/>
      <c r="C727" s="86" t="s">
        <v>269</v>
      </c>
      <c r="D727" s="86" t="s">
        <v>270</v>
      </c>
      <c r="E727" s="485"/>
      <c r="F727" s="491"/>
      <c r="G727" s="741"/>
      <c r="H727" s="582"/>
      <c r="I727" s="529"/>
      <c r="J727" s="130"/>
      <c r="K727" s="25"/>
      <c r="L727" s="13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9"/>
      <c r="Z727" s="19"/>
      <c r="AA727" s="22"/>
      <c r="AB727" s="98"/>
      <c r="AC727" s="20"/>
      <c r="AD727" s="98"/>
    </row>
    <row r="728" spans="2:30" ht="22.5">
      <c r="B728" s="13">
        <f>B726+1</f>
        <v>31</v>
      </c>
      <c r="C728" s="74" t="s">
        <v>271</v>
      </c>
      <c r="D728" s="21" t="s">
        <v>272</v>
      </c>
      <c r="E728" s="204"/>
      <c r="F728" s="491">
        <v>1</v>
      </c>
      <c r="G728" s="741" t="s">
        <v>1845</v>
      </c>
      <c r="H728" s="583"/>
      <c r="I728" s="530"/>
      <c r="J728" s="15">
        <v>14050000</v>
      </c>
      <c r="K728" s="99">
        <v>14050000</v>
      </c>
      <c r="L728" s="13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9">
        <v>100</v>
      </c>
      <c r="Z728" s="19">
        <v>100</v>
      </c>
      <c r="AA728" s="22">
        <v>13558300</v>
      </c>
      <c r="AB728" s="98">
        <f t="shared" si="258"/>
        <v>96.500355871886129</v>
      </c>
      <c r="AC728" s="20">
        <v>8649900</v>
      </c>
      <c r="AD728" s="98">
        <f t="shared" si="260"/>
        <v>61.565124555160146</v>
      </c>
    </row>
    <row r="729" spans="2:30" ht="22.5">
      <c r="B729" s="13">
        <f t="shared" si="257"/>
        <v>32</v>
      </c>
      <c r="C729" s="74" t="s">
        <v>273</v>
      </c>
      <c r="D729" s="21" t="s">
        <v>274</v>
      </c>
      <c r="E729" s="204"/>
      <c r="F729" s="491">
        <v>1</v>
      </c>
      <c r="G729" s="741" t="s">
        <v>1845</v>
      </c>
      <c r="H729" s="583"/>
      <c r="I729" s="530"/>
      <c r="J729" s="15">
        <v>4962000</v>
      </c>
      <c r="K729" s="99">
        <v>4962000</v>
      </c>
      <c r="L729" s="13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9">
        <v>100</v>
      </c>
      <c r="Z729" s="19">
        <v>100</v>
      </c>
      <c r="AA729" s="22">
        <v>4612700</v>
      </c>
      <c r="AB729" s="98">
        <f t="shared" si="258"/>
        <v>92.960499798468348</v>
      </c>
      <c r="AC729" s="20">
        <f t="shared" si="259"/>
        <v>4612700</v>
      </c>
      <c r="AD729" s="98">
        <f t="shared" si="260"/>
        <v>92.960499798468348</v>
      </c>
    </row>
    <row r="730" spans="2:30" ht="22.5">
      <c r="B730" s="13">
        <f t="shared" si="257"/>
        <v>33</v>
      </c>
      <c r="C730" s="74" t="s">
        <v>275</v>
      </c>
      <c r="D730" s="21" t="s">
        <v>276</v>
      </c>
      <c r="E730" s="204"/>
      <c r="F730" s="491">
        <v>1</v>
      </c>
      <c r="G730" s="741" t="s">
        <v>1845</v>
      </c>
      <c r="H730" s="583"/>
      <c r="I730" s="530"/>
      <c r="J730" s="15">
        <v>18070000</v>
      </c>
      <c r="K730" s="99">
        <v>18070000</v>
      </c>
      <c r="L730" s="13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9">
        <v>100</v>
      </c>
      <c r="Z730" s="19">
        <v>91</v>
      </c>
      <c r="AA730" s="22">
        <v>16360000</v>
      </c>
      <c r="AB730" s="98">
        <f t="shared" si="258"/>
        <v>90.536801328168238</v>
      </c>
      <c r="AC730" s="20">
        <v>5186000</v>
      </c>
      <c r="AD730" s="98">
        <f t="shared" si="260"/>
        <v>28.699501936912007</v>
      </c>
    </row>
    <row r="731" spans="2:30" ht="22.5">
      <c r="B731" s="13">
        <f t="shared" si="257"/>
        <v>34</v>
      </c>
      <c r="C731" s="74" t="s">
        <v>277</v>
      </c>
      <c r="D731" s="21" t="s">
        <v>278</v>
      </c>
      <c r="E731" s="204"/>
      <c r="F731" s="491">
        <v>1</v>
      </c>
      <c r="G731" s="741" t="s">
        <v>1845</v>
      </c>
      <c r="H731" s="583"/>
      <c r="I731" s="530"/>
      <c r="J731" s="15">
        <v>8463000</v>
      </c>
      <c r="K731" s="99">
        <v>8463000</v>
      </c>
      <c r="L731" s="13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9">
        <v>100</v>
      </c>
      <c r="Z731" s="19">
        <v>96</v>
      </c>
      <c r="AA731" s="22">
        <v>8164607</v>
      </c>
      <c r="AB731" s="98">
        <f t="shared" si="258"/>
        <v>96.4741462838237</v>
      </c>
      <c r="AC731" s="20">
        <f>AA731</f>
        <v>8164607</v>
      </c>
      <c r="AD731" s="98">
        <f t="shared" si="260"/>
        <v>96.4741462838237</v>
      </c>
    </row>
    <row r="732" spans="2:30" ht="22.5">
      <c r="B732" s="13">
        <f t="shared" si="257"/>
        <v>35</v>
      </c>
      <c r="C732" s="74" t="s">
        <v>279</v>
      </c>
      <c r="D732" s="21" t="s">
        <v>280</v>
      </c>
      <c r="E732" s="204"/>
      <c r="F732" s="491">
        <v>1</v>
      </c>
      <c r="G732" s="741" t="s">
        <v>1845</v>
      </c>
      <c r="H732" s="583"/>
      <c r="I732" s="530"/>
      <c r="J732" s="15">
        <v>37435000</v>
      </c>
      <c r="K732" s="99">
        <v>67336000</v>
      </c>
      <c r="L732" s="13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9">
        <v>100</v>
      </c>
      <c r="Z732" s="19">
        <v>68</v>
      </c>
      <c r="AA732" s="22">
        <v>45813500</v>
      </c>
      <c r="AB732" s="98">
        <f t="shared" si="258"/>
        <v>68.037156944279431</v>
      </c>
      <c r="AC732" s="20">
        <f>AA732</f>
        <v>45813500</v>
      </c>
      <c r="AD732" s="98">
        <f t="shared" si="260"/>
        <v>68.037156944279431</v>
      </c>
    </row>
    <row r="733" spans="2:30" ht="22.5">
      <c r="B733" s="13">
        <f t="shared" si="257"/>
        <v>36</v>
      </c>
      <c r="C733" s="74" t="s">
        <v>281</v>
      </c>
      <c r="D733" s="21" t="s">
        <v>282</v>
      </c>
      <c r="E733" s="204"/>
      <c r="F733" s="491">
        <v>1</v>
      </c>
      <c r="G733" s="741" t="s">
        <v>1845</v>
      </c>
      <c r="H733" s="583"/>
      <c r="I733" s="530"/>
      <c r="J733" s="15">
        <v>149400000</v>
      </c>
      <c r="K733" s="99">
        <v>149400000</v>
      </c>
      <c r="L733" s="13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9">
        <v>100</v>
      </c>
      <c r="Z733" s="19">
        <v>96</v>
      </c>
      <c r="AA733" s="22">
        <v>143219300</v>
      </c>
      <c r="AB733" s="98">
        <f t="shared" si="258"/>
        <v>95.862985274431054</v>
      </c>
      <c r="AC733" s="20">
        <v>143219300</v>
      </c>
      <c r="AD733" s="98">
        <f t="shared" si="260"/>
        <v>95.862985274431054</v>
      </c>
    </row>
    <row r="734" spans="2:30" ht="22.5">
      <c r="B734" s="13">
        <f t="shared" si="257"/>
        <v>37</v>
      </c>
      <c r="C734" s="74" t="s">
        <v>283</v>
      </c>
      <c r="D734" s="21" t="s">
        <v>284</v>
      </c>
      <c r="E734" s="204"/>
      <c r="F734" s="491">
        <v>1</v>
      </c>
      <c r="G734" s="741" t="s">
        <v>1845</v>
      </c>
      <c r="H734" s="583"/>
      <c r="I734" s="530"/>
      <c r="J734" s="15">
        <v>7500000</v>
      </c>
      <c r="K734" s="99">
        <v>7500000</v>
      </c>
      <c r="L734" s="13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9">
        <v>100</v>
      </c>
      <c r="Z734" s="19">
        <v>100</v>
      </c>
      <c r="AA734" s="22">
        <v>7450000</v>
      </c>
      <c r="AB734" s="98">
        <f t="shared" si="258"/>
        <v>99.333333333333329</v>
      </c>
      <c r="AC734" s="20">
        <v>7450000</v>
      </c>
      <c r="AD734" s="98">
        <f t="shared" si="260"/>
        <v>99.333333333333329</v>
      </c>
    </row>
    <row r="735" spans="2:30" ht="22.5">
      <c r="B735" s="13">
        <f t="shared" si="257"/>
        <v>38</v>
      </c>
      <c r="C735" s="58" t="s">
        <v>285</v>
      </c>
      <c r="D735" s="21" t="s">
        <v>286</v>
      </c>
      <c r="E735" s="204"/>
      <c r="F735" s="491">
        <v>1</v>
      </c>
      <c r="G735" s="741" t="s">
        <v>1845</v>
      </c>
      <c r="H735" s="583"/>
      <c r="I735" s="530"/>
      <c r="J735" s="15">
        <v>14000000</v>
      </c>
      <c r="K735" s="99">
        <v>14000000</v>
      </c>
      <c r="L735" s="13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9">
        <v>100</v>
      </c>
      <c r="Z735" s="19">
        <v>97</v>
      </c>
      <c r="AA735" s="22">
        <v>13587500</v>
      </c>
      <c r="AB735" s="98">
        <f t="shared" si="258"/>
        <v>97.053571428571431</v>
      </c>
      <c r="AC735" s="20">
        <v>13587500</v>
      </c>
      <c r="AD735" s="98">
        <f t="shared" si="260"/>
        <v>97.053571428571431</v>
      </c>
    </row>
    <row r="736" spans="2:30" ht="22.5">
      <c r="B736" s="13">
        <f t="shared" si="257"/>
        <v>39</v>
      </c>
      <c r="C736" s="58" t="s">
        <v>287</v>
      </c>
      <c r="D736" s="21" t="s">
        <v>288</v>
      </c>
      <c r="E736" s="204"/>
      <c r="F736" s="491">
        <v>1</v>
      </c>
      <c r="G736" s="741" t="s">
        <v>1845</v>
      </c>
      <c r="H736" s="583"/>
      <c r="I736" s="530"/>
      <c r="J736" s="15">
        <v>156210000</v>
      </c>
      <c r="K736" s="99">
        <v>156210000</v>
      </c>
      <c r="L736" s="13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9">
        <v>100</v>
      </c>
      <c r="Z736" s="19">
        <v>83</v>
      </c>
      <c r="AA736" s="22">
        <v>130150000</v>
      </c>
      <c r="AB736" s="98">
        <f t="shared" si="258"/>
        <v>83.317329236284493</v>
      </c>
      <c r="AC736" s="20">
        <f>AA736</f>
        <v>130150000</v>
      </c>
      <c r="AD736" s="98">
        <f t="shared" si="260"/>
        <v>83.317329236284493</v>
      </c>
    </row>
    <row r="737" spans="2:30" ht="22.5">
      <c r="B737" s="13">
        <f t="shared" si="257"/>
        <v>40</v>
      </c>
      <c r="C737" s="58" t="s">
        <v>289</v>
      </c>
      <c r="D737" s="21" t="s">
        <v>290</v>
      </c>
      <c r="E737" s="204"/>
      <c r="F737" s="491">
        <v>1</v>
      </c>
      <c r="G737" s="741" t="s">
        <v>1845</v>
      </c>
      <c r="H737" s="583"/>
      <c r="I737" s="530"/>
      <c r="J737" s="15">
        <v>35000000</v>
      </c>
      <c r="K737" s="99">
        <v>35000000</v>
      </c>
      <c r="L737" s="13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9">
        <v>100</v>
      </c>
      <c r="Z737" s="19">
        <v>93</v>
      </c>
      <c r="AA737" s="22">
        <v>32590000</v>
      </c>
      <c r="AB737" s="98">
        <f t="shared" si="258"/>
        <v>93.114285714285714</v>
      </c>
      <c r="AC737" s="20">
        <f>AA737</f>
        <v>32590000</v>
      </c>
      <c r="AD737" s="98">
        <f t="shared" si="260"/>
        <v>93.114285714285714</v>
      </c>
    </row>
    <row r="738" spans="2:30" ht="15.75">
      <c r="B738" s="13"/>
      <c r="C738" s="86" t="s">
        <v>291</v>
      </c>
      <c r="D738" s="86" t="s">
        <v>292</v>
      </c>
      <c r="E738" s="485"/>
      <c r="F738" s="491"/>
      <c r="G738" s="741"/>
      <c r="H738" s="582"/>
      <c r="I738" s="529"/>
      <c r="J738" s="130"/>
      <c r="K738" s="25"/>
      <c r="L738" s="13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9"/>
      <c r="Z738" s="19"/>
      <c r="AA738" s="22"/>
      <c r="AB738" s="98"/>
      <c r="AC738" s="20"/>
      <c r="AD738" s="98"/>
    </row>
    <row r="739" spans="2:30" ht="22.5">
      <c r="B739" s="13">
        <v>41</v>
      </c>
      <c r="C739" s="74" t="s">
        <v>293</v>
      </c>
      <c r="D739" s="74" t="s">
        <v>294</v>
      </c>
      <c r="E739" s="204"/>
      <c r="F739" s="491">
        <v>1</v>
      </c>
      <c r="G739" s="741" t="s">
        <v>1845</v>
      </c>
      <c r="H739" s="583"/>
      <c r="I739" s="530"/>
      <c r="J739" s="15">
        <v>26500000</v>
      </c>
      <c r="K739" s="99">
        <v>26500000</v>
      </c>
      <c r="L739" s="13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9">
        <v>100</v>
      </c>
      <c r="Z739" s="19">
        <v>100</v>
      </c>
      <c r="AA739" s="22">
        <v>26500000</v>
      </c>
      <c r="AB739" s="98">
        <f t="shared" si="258"/>
        <v>100</v>
      </c>
      <c r="AC739" s="20">
        <f t="shared" si="259"/>
        <v>26500000</v>
      </c>
      <c r="AD739" s="98">
        <f t="shared" si="260"/>
        <v>100</v>
      </c>
    </row>
    <row r="740" spans="2:30" ht="22.5">
      <c r="B740" s="13">
        <f t="shared" si="257"/>
        <v>42</v>
      </c>
      <c r="C740" s="74" t="s">
        <v>295</v>
      </c>
      <c r="D740" s="74" t="s">
        <v>296</v>
      </c>
      <c r="E740" s="204"/>
      <c r="F740" s="491">
        <v>1</v>
      </c>
      <c r="G740" s="741" t="s">
        <v>1845</v>
      </c>
      <c r="H740" s="583"/>
      <c r="I740" s="530"/>
      <c r="J740" s="15">
        <v>7450000</v>
      </c>
      <c r="K740" s="99">
        <v>7450000</v>
      </c>
      <c r="L740" s="13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9">
        <v>100</v>
      </c>
      <c r="Z740" s="19">
        <v>97</v>
      </c>
      <c r="AA740" s="22">
        <v>7205600</v>
      </c>
      <c r="AB740" s="98">
        <f t="shared" si="258"/>
        <v>96.719463087248329</v>
      </c>
      <c r="AC740" s="20">
        <f t="shared" si="259"/>
        <v>7205600</v>
      </c>
      <c r="AD740" s="98">
        <f t="shared" si="260"/>
        <v>96.719463087248329</v>
      </c>
    </row>
    <row r="741" spans="2:30" ht="27">
      <c r="B741" s="66"/>
      <c r="C741" s="120" t="s">
        <v>297</v>
      </c>
      <c r="D741" s="120" t="s">
        <v>298</v>
      </c>
      <c r="E741" s="487"/>
      <c r="F741" s="491"/>
      <c r="G741" s="741"/>
      <c r="H741" s="584"/>
      <c r="I741" s="531"/>
      <c r="J741" s="133"/>
      <c r="K741" s="65"/>
      <c r="L741" s="66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134"/>
      <c r="Z741" s="134"/>
      <c r="AA741" s="135"/>
      <c r="AB741" s="98"/>
      <c r="AC741" s="137"/>
      <c r="AD741" s="98"/>
    </row>
    <row r="742" spans="2:30" ht="25.5">
      <c r="B742" s="13">
        <v>43</v>
      </c>
      <c r="C742" s="74" t="s">
        <v>299</v>
      </c>
      <c r="D742" s="21" t="s">
        <v>300</v>
      </c>
      <c r="E742" s="204"/>
      <c r="F742" s="491">
        <v>1</v>
      </c>
      <c r="G742" s="741" t="s">
        <v>1845</v>
      </c>
      <c r="H742" s="583"/>
      <c r="I742" s="530"/>
      <c r="J742" s="15">
        <v>250000000</v>
      </c>
      <c r="K742" s="99">
        <v>250000000</v>
      </c>
      <c r="L742" s="13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9">
        <v>100</v>
      </c>
      <c r="Z742" s="19">
        <v>100</v>
      </c>
      <c r="AA742" s="22">
        <v>249996904</v>
      </c>
      <c r="AB742" s="98">
        <f t="shared" si="258"/>
        <v>99.998761599999995</v>
      </c>
      <c r="AC742" s="20">
        <f t="shared" si="259"/>
        <v>249996904</v>
      </c>
      <c r="AD742" s="98">
        <f t="shared" si="260"/>
        <v>99.998761599999995</v>
      </c>
    </row>
    <row r="743" spans="2:30" ht="25.5">
      <c r="B743" s="13">
        <f t="shared" si="257"/>
        <v>44</v>
      </c>
      <c r="C743" s="74" t="s">
        <v>301</v>
      </c>
      <c r="D743" s="21" t="s">
        <v>302</v>
      </c>
      <c r="E743" s="204"/>
      <c r="F743" s="491">
        <v>1</v>
      </c>
      <c r="G743" s="741" t="s">
        <v>1845</v>
      </c>
      <c r="H743" s="583"/>
      <c r="I743" s="530"/>
      <c r="J743" s="15">
        <v>2073208000</v>
      </c>
      <c r="K743" s="99">
        <v>2073208000</v>
      </c>
      <c r="L743" s="13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9">
        <v>100</v>
      </c>
      <c r="Z743" s="19">
        <v>100</v>
      </c>
      <c r="AA743" s="22">
        <v>2056317000</v>
      </c>
      <c r="AB743" s="98">
        <f t="shared" si="258"/>
        <v>99.185272292987477</v>
      </c>
      <c r="AC743" s="20">
        <f t="shared" si="259"/>
        <v>2056317000</v>
      </c>
      <c r="AD743" s="98">
        <f t="shared" si="260"/>
        <v>99.185272292987477</v>
      </c>
    </row>
    <row r="744" spans="2:30" ht="22.5">
      <c r="B744" s="13">
        <f t="shared" si="257"/>
        <v>45</v>
      </c>
      <c r="C744" s="81">
        <v>22.004999999999999</v>
      </c>
      <c r="D744" s="21" t="s">
        <v>303</v>
      </c>
      <c r="E744" s="204"/>
      <c r="F744" s="491">
        <v>1</v>
      </c>
      <c r="G744" s="741" t="s">
        <v>1845</v>
      </c>
      <c r="H744" s="583">
        <v>1</v>
      </c>
      <c r="I744" s="530" t="s">
        <v>1845</v>
      </c>
      <c r="J744" s="15">
        <v>500000000</v>
      </c>
      <c r="K744" s="99">
        <v>1273000000</v>
      </c>
      <c r="L744" s="13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9">
        <v>100</v>
      </c>
      <c r="Z744" s="19">
        <v>100</v>
      </c>
      <c r="AA744" s="22">
        <v>1264250124</v>
      </c>
      <c r="AB744" s="98">
        <f t="shared" si="258"/>
        <v>99.312657030636302</v>
      </c>
      <c r="AC744" s="20">
        <f t="shared" si="259"/>
        <v>1264250124</v>
      </c>
      <c r="AD744" s="98">
        <f t="shared" si="260"/>
        <v>99.312657030636302</v>
      </c>
    </row>
    <row r="745" spans="2:30">
      <c r="B745" s="13">
        <f t="shared" si="257"/>
        <v>46</v>
      </c>
      <c r="C745" s="81">
        <v>22.006</v>
      </c>
      <c r="D745" s="58" t="s">
        <v>2322</v>
      </c>
      <c r="E745" s="204"/>
      <c r="F745" s="491"/>
      <c r="G745" s="741"/>
      <c r="H745" s="583"/>
      <c r="I745" s="530"/>
      <c r="J745" s="15"/>
      <c r="K745" s="99">
        <v>129000000</v>
      </c>
      <c r="L745" s="13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9">
        <v>100</v>
      </c>
      <c r="Z745" s="19">
        <v>100</v>
      </c>
      <c r="AA745" s="22">
        <v>119881000</v>
      </c>
      <c r="AB745" s="98">
        <f t="shared" si="258"/>
        <v>92.931007751937983</v>
      </c>
      <c r="AC745" s="20">
        <f t="shared" si="259"/>
        <v>119881000</v>
      </c>
      <c r="AD745" s="98">
        <f t="shared" si="260"/>
        <v>92.931007751937983</v>
      </c>
    </row>
    <row r="746" spans="2:30">
      <c r="B746" s="13">
        <f t="shared" si="257"/>
        <v>47</v>
      </c>
      <c r="C746" s="81">
        <v>22.007000000000001</v>
      </c>
      <c r="D746" s="58" t="s">
        <v>2323</v>
      </c>
      <c r="E746" s="204"/>
      <c r="F746" s="491"/>
      <c r="G746" s="741"/>
      <c r="H746" s="583"/>
      <c r="I746" s="530"/>
      <c r="J746" s="15"/>
      <c r="K746" s="99">
        <v>225000000</v>
      </c>
      <c r="L746" s="13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9">
        <v>100</v>
      </c>
      <c r="Z746" s="19">
        <v>100</v>
      </c>
      <c r="AA746" s="22">
        <v>189439300</v>
      </c>
      <c r="AB746" s="98">
        <f t="shared" si="258"/>
        <v>84.195244444444441</v>
      </c>
      <c r="AC746" s="20">
        <f t="shared" si="259"/>
        <v>189439300</v>
      </c>
      <c r="AD746" s="98">
        <f t="shared" si="260"/>
        <v>84.195244444444441</v>
      </c>
    </row>
    <row r="747" spans="2:30" ht="25.5">
      <c r="B747" s="13">
        <f t="shared" si="257"/>
        <v>48</v>
      </c>
      <c r="C747" s="81">
        <v>22.007999999999999</v>
      </c>
      <c r="D747" s="75" t="s">
        <v>2324</v>
      </c>
      <c r="E747" s="204"/>
      <c r="F747" s="491"/>
      <c r="G747" s="741"/>
      <c r="H747" s="583"/>
      <c r="I747" s="530"/>
      <c r="J747" s="15"/>
      <c r="K747" s="99">
        <v>2551640000</v>
      </c>
      <c r="L747" s="13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9">
        <v>0</v>
      </c>
      <c r="Z747" s="19">
        <v>0</v>
      </c>
      <c r="AA747" s="22">
        <v>0</v>
      </c>
      <c r="AB747" s="98">
        <f t="shared" si="258"/>
        <v>0</v>
      </c>
      <c r="AC747" s="20">
        <f t="shared" si="259"/>
        <v>0</v>
      </c>
      <c r="AD747" s="98">
        <f t="shared" si="260"/>
        <v>0</v>
      </c>
    </row>
    <row r="748" spans="2:30">
      <c r="B748" s="13">
        <f t="shared" si="257"/>
        <v>49</v>
      </c>
      <c r="C748" s="81">
        <v>22.009</v>
      </c>
      <c r="D748" s="58" t="s">
        <v>2325</v>
      </c>
      <c r="E748" s="204"/>
      <c r="F748" s="491"/>
      <c r="G748" s="741"/>
      <c r="H748" s="583"/>
      <c r="I748" s="530"/>
      <c r="J748" s="15"/>
      <c r="K748" s="99">
        <v>832358000</v>
      </c>
      <c r="L748" s="13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9">
        <v>100</v>
      </c>
      <c r="Z748" s="19">
        <v>0</v>
      </c>
      <c r="AA748" s="22">
        <v>185447000</v>
      </c>
      <c r="AB748" s="98">
        <f t="shared" si="258"/>
        <v>22.279716179816859</v>
      </c>
      <c r="AC748" s="20">
        <f>AA748</f>
        <v>185447000</v>
      </c>
      <c r="AD748" s="98">
        <f t="shared" si="260"/>
        <v>22.279716179816859</v>
      </c>
    </row>
    <row r="749" spans="2:30">
      <c r="B749" s="13">
        <f t="shared" si="257"/>
        <v>50</v>
      </c>
      <c r="C749" s="164" t="s">
        <v>2321</v>
      </c>
      <c r="D749" s="58" t="s">
        <v>2326</v>
      </c>
      <c r="E749" s="204"/>
      <c r="F749" s="491"/>
      <c r="G749" s="741"/>
      <c r="H749" s="583"/>
      <c r="I749" s="530"/>
      <c r="J749" s="15"/>
      <c r="K749" s="99">
        <v>388500000</v>
      </c>
      <c r="L749" s="13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9">
        <v>100</v>
      </c>
      <c r="Z749" s="19">
        <v>100</v>
      </c>
      <c r="AA749" s="22">
        <v>387890000</v>
      </c>
      <c r="AB749" s="98">
        <f t="shared" si="258"/>
        <v>99.84298584298584</v>
      </c>
      <c r="AC749" s="20">
        <f>AA749</f>
        <v>387890000</v>
      </c>
      <c r="AD749" s="98">
        <f t="shared" si="260"/>
        <v>99.84298584298584</v>
      </c>
    </row>
    <row r="750" spans="2:30">
      <c r="B750" s="13">
        <f t="shared" si="257"/>
        <v>51</v>
      </c>
      <c r="C750" s="81">
        <v>22.010999999999999</v>
      </c>
      <c r="D750" s="58" t="s">
        <v>2327</v>
      </c>
      <c r="E750" s="204"/>
      <c r="F750" s="491"/>
      <c r="G750" s="741"/>
      <c r="H750" s="583"/>
      <c r="I750" s="530"/>
      <c r="J750" s="15"/>
      <c r="K750" s="99">
        <v>1653000000</v>
      </c>
      <c r="L750" s="13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9">
        <v>100</v>
      </c>
      <c r="Z750" s="19">
        <v>0</v>
      </c>
      <c r="AA750" s="22">
        <v>1253352500</v>
      </c>
      <c r="AB750" s="98">
        <f t="shared" si="258"/>
        <v>75.822897761645493</v>
      </c>
      <c r="AC750" s="20">
        <f>AA750</f>
        <v>1253352500</v>
      </c>
      <c r="AD750" s="98">
        <f t="shared" si="260"/>
        <v>75.822897761645493</v>
      </c>
    </row>
    <row r="751" spans="2:30" ht="15.75">
      <c r="B751" s="13"/>
      <c r="C751" s="86" t="s">
        <v>304</v>
      </c>
      <c r="D751" s="86" t="s">
        <v>305</v>
      </c>
      <c r="E751" s="485"/>
      <c r="F751" s="491"/>
      <c r="G751" s="741"/>
      <c r="H751" s="582"/>
      <c r="I751" s="529"/>
      <c r="J751" s="130"/>
      <c r="K751" s="25"/>
      <c r="L751" s="13"/>
      <c r="M751" s="17"/>
      <c r="N751" s="17" t="s">
        <v>1</v>
      </c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9"/>
      <c r="Z751" s="19"/>
      <c r="AA751" s="22"/>
      <c r="AB751" s="98"/>
      <c r="AC751" s="20"/>
      <c r="AD751" s="98"/>
    </row>
    <row r="752" spans="2:30" ht="40.5">
      <c r="B752" s="13">
        <v>52</v>
      </c>
      <c r="C752" s="74" t="s">
        <v>306</v>
      </c>
      <c r="D752" s="74" t="s">
        <v>307</v>
      </c>
      <c r="E752" s="204"/>
      <c r="F752" s="491">
        <v>1</v>
      </c>
      <c r="G752" s="741" t="s">
        <v>1845</v>
      </c>
      <c r="H752" s="583"/>
      <c r="I752" s="530"/>
      <c r="J752" s="15">
        <v>66170000</v>
      </c>
      <c r="K752" s="99">
        <v>79850000</v>
      </c>
      <c r="L752" s="13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9">
        <v>100</v>
      </c>
      <c r="Z752" s="19">
        <v>91</v>
      </c>
      <c r="AA752" s="22">
        <v>73010000</v>
      </c>
      <c r="AB752" s="98">
        <f t="shared" si="258"/>
        <v>91.433938634940517</v>
      </c>
      <c r="AC752" s="20">
        <f t="shared" si="259"/>
        <v>73010000</v>
      </c>
      <c r="AD752" s="98">
        <f t="shared" si="260"/>
        <v>91.433938634940517</v>
      </c>
    </row>
    <row r="753" spans="2:30" ht="22.5">
      <c r="B753" s="13">
        <f t="shared" si="257"/>
        <v>53</v>
      </c>
      <c r="C753" s="74" t="s">
        <v>308</v>
      </c>
      <c r="D753" s="74" t="s">
        <v>309</v>
      </c>
      <c r="E753" s="486"/>
      <c r="F753" s="491">
        <v>1</v>
      </c>
      <c r="G753" s="741" t="s">
        <v>1845</v>
      </c>
      <c r="H753" s="578"/>
      <c r="I753" s="473"/>
      <c r="J753" s="15">
        <v>33600000</v>
      </c>
      <c r="K753" s="99">
        <v>33600000</v>
      </c>
      <c r="L753" s="13"/>
      <c r="M753" s="385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9">
        <v>100</v>
      </c>
      <c r="Z753" s="19">
        <v>99</v>
      </c>
      <c r="AA753" s="22">
        <v>33474900</v>
      </c>
      <c r="AB753" s="98">
        <f t="shared" si="258"/>
        <v>99.627678571428575</v>
      </c>
      <c r="AC753" s="20">
        <f t="shared" si="259"/>
        <v>33474900</v>
      </c>
      <c r="AD753" s="98">
        <f t="shared" si="260"/>
        <v>99.627678571428575</v>
      </c>
    </row>
    <row r="754" spans="2:30" ht="27">
      <c r="B754" s="13">
        <f t="shared" si="257"/>
        <v>54</v>
      </c>
      <c r="C754" s="74" t="s">
        <v>310</v>
      </c>
      <c r="D754" s="74" t="s">
        <v>311</v>
      </c>
      <c r="E754" s="204"/>
      <c r="F754" s="491">
        <v>1</v>
      </c>
      <c r="G754" s="741" t="s">
        <v>1845</v>
      </c>
      <c r="H754" s="583"/>
      <c r="I754" s="530"/>
      <c r="J754" s="15">
        <v>4280000</v>
      </c>
      <c r="K754" s="99">
        <v>4280000</v>
      </c>
      <c r="L754" s="57"/>
      <c r="M754" s="25"/>
      <c r="N754" s="49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9">
        <v>100</v>
      </c>
      <c r="Z754" s="19">
        <v>100</v>
      </c>
      <c r="AA754" s="22">
        <v>4280000</v>
      </c>
      <c r="AB754" s="98">
        <f t="shared" si="258"/>
        <v>100</v>
      </c>
      <c r="AC754" s="20">
        <f t="shared" si="259"/>
        <v>4280000</v>
      </c>
      <c r="AD754" s="98">
        <f t="shared" si="260"/>
        <v>100</v>
      </c>
    </row>
    <row r="755" spans="2:30" ht="27">
      <c r="B755" s="13">
        <f t="shared" si="257"/>
        <v>55</v>
      </c>
      <c r="C755" s="74" t="s">
        <v>312</v>
      </c>
      <c r="D755" s="74" t="s">
        <v>313</v>
      </c>
      <c r="E755" s="204"/>
      <c r="F755" s="491">
        <v>1</v>
      </c>
      <c r="G755" s="741" t="s">
        <v>1845</v>
      </c>
      <c r="H755" s="583"/>
      <c r="I755" s="530"/>
      <c r="J755" s="15">
        <v>27000000</v>
      </c>
      <c r="K755" s="99">
        <v>27000000</v>
      </c>
      <c r="L755" s="57"/>
      <c r="M755" s="25"/>
      <c r="N755" s="49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9">
        <v>100</v>
      </c>
      <c r="Z755" s="19">
        <v>99</v>
      </c>
      <c r="AA755" s="22">
        <v>26960000</v>
      </c>
      <c r="AB755" s="98">
        <f t="shared" si="258"/>
        <v>99.851851851851848</v>
      </c>
      <c r="AC755" s="20">
        <f t="shared" si="259"/>
        <v>26960000</v>
      </c>
      <c r="AD755" s="98">
        <f t="shared" si="260"/>
        <v>99.851851851851848</v>
      </c>
    </row>
    <row r="756" spans="2:30" ht="27">
      <c r="B756" s="13"/>
      <c r="C756" s="86" t="s">
        <v>314</v>
      </c>
      <c r="D756" s="86" t="s">
        <v>315</v>
      </c>
      <c r="E756" s="485"/>
      <c r="F756" s="491"/>
      <c r="G756" s="741"/>
      <c r="H756" s="582"/>
      <c r="I756" s="529"/>
      <c r="J756" s="130"/>
      <c r="K756" s="25"/>
      <c r="L756" s="57"/>
      <c r="M756" s="25"/>
      <c r="N756" s="49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9"/>
      <c r="Z756" s="19"/>
      <c r="AA756" s="22"/>
      <c r="AB756" s="98"/>
      <c r="AC756" s="20"/>
      <c r="AD756" s="98"/>
    </row>
    <row r="757" spans="2:30" ht="22.5">
      <c r="B757" s="13">
        <f>B755+1</f>
        <v>56</v>
      </c>
      <c r="C757" s="74" t="s">
        <v>316</v>
      </c>
      <c r="D757" s="74" t="s">
        <v>317</v>
      </c>
      <c r="E757" s="204"/>
      <c r="F757" s="491">
        <v>1</v>
      </c>
      <c r="G757" s="741" t="s">
        <v>1845</v>
      </c>
      <c r="H757" s="583"/>
      <c r="I757" s="530"/>
      <c r="J757" s="15">
        <v>12500000</v>
      </c>
      <c r="K757" s="99">
        <v>12500000</v>
      </c>
      <c r="L757" s="57"/>
      <c r="M757" s="25"/>
      <c r="N757" s="49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9">
        <v>100</v>
      </c>
      <c r="Z757" s="19">
        <v>100</v>
      </c>
      <c r="AA757" s="22">
        <v>12500000</v>
      </c>
      <c r="AB757" s="98">
        <f t="shared" si="258"/>
        <v>100</v>
      </c>
      <c r="AC757" s="20">
        <f t="shared" si="259"/>
        <v>12500000</v>
      </c>
      <c r="AD757" s="98">
        <f t="shared" si="260"/>
        <v>100</v>
      </c>
    </row>
    <row r="758" spans="2:30" ht="22.5">
      <c r="B758" s="13">
        <f t="shared" si="257"/>
        <v>57</v>
      </c>
      <c r="C758" s="74" t="s">
        <v>318</v>
      </c>
      <c r="D758" s="74" t="s">
        <v>319</v>
      </c>
      <c r="E758" s="204"/>
      <c r="F758" s="491">
        <v>1</v>
      </c>
      <c r="G758" s="741" t="s">
        <v>1845</v>
      </c>
      <c r="H758" s="583"/>
      <c r="I758" s="530"/>
      <c r="J758" s="15">
        <v>9760000</v>
      </c>
      <c r="K758" s="99">
        <v>14428000</v>
      </c>
      <c r="L758" s="57"/>
      <c r="M758" s="25"/>
      <c r="N758" s="49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9">
        <v>100</v>
      </c>
      <c r="Z758" s="19">
        <v>100</v>
      </c>
      <c r="AA758" s="22">
        <v>10478000</v>
      </c>
      <c r="AB758" s="98">
        <f t="shared" ref="AB758:AB764" si="261">AA758/K758*100</f>
        <v>72.622678125866372</v>
      </c>
      <c r="AC758" s="20">
        <f t="shared" si="259"/>
        <v>10478000</v>
      </c>
      <c r="AD758" s="98">
        <f t="shared" ref="AD758:AD764" si="262">AC758/K758*100</f>
        <v>72.622678125866372</v>
      </c>
    </row>
    <row r="759" spans="2:30" ht="27">
      <c r="B759" s="13">
        <f t="shared" si="257"/>
        <v>58</v>
      </c>
      <c r="C759" s="74" t="s">
        <v>320</v>
      </c>
      <c r="D759" s="74" t="s">
        <v>321</v>
      </c>
      <c r="E759" s="204"/>
      <c r="F759" s="491">
        <v>1</v>
      </c>
      <c r="G759" s="741" t="s">
        <v>1845</v>
      </c>
      <c r="H759" s="583"/>
      <c r="I759" s="530"/>
      <c r="J759" s="15">
        <v>4940000</v>
      </c>
      <c r="K759" s="99">
        <v>4940000</v>
      </c>
      <c r="L759" s="57"/>
      <c r="M759" s="25"/>
      <c r="N759" s="49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9">
        <v>100</v>
      </c>
      <c r="Z759" s="19">
        <v>100</v>
      </c>
      <c r="AA759" s="22">
        <v>4940000</v>
      </c>
      <c r="AB759" s="98">
        <f t="shared" si="261"/>
        <v>100</v>
      </c>
      <c r="AC759" s="20">
        <f t="shared" si="259"/>
        <v>4940000</v>
      </c>
      <c r="AD759" s="20">
        <f t="shared" si="262"/>
        <v>100</v>
      </c>
    </row>
    <row r="760" spans="2:30" ht="22.5">
      <c r="B760" s="13">
        <f t="shared" si="257"/>
        <v>59</v>
      </c>
      <c r="C760" s="74" t="s">
        <v>322</v>
      </c>
      <c r="D760" s="74" t="s">
        <v>323</v>
      </c>
      <c r="E760" s="204"/>
      <c r="F760" s="491">
        <v>1</v>
      </c>
      <c r="G760" s="741" t="s">
        <v>1845</v>
      </c>
      <c r="H760" s="583"/>
      <c r="I760" s="530"/>
      <c r="J760" s="15">
        <v>80000000</v>
      </c>
      <c r="K760" s="99">
        <v>1080000000</v>
      </c>
      <c r="L760" s="57"/>
      <c r="M760" s="25"/>
      <c r="N760" s="49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9">
        <v>100</v>
      </c>
      <c r="Z760" s="19">
        <v>100</v>
      </c>
      <c r="AA760" s="22">
        <v>1079724800</v>
      </c>
      <c r="AB760" s="98">
        <f t="shared" si="261"/>
        <v>99.974518518518522</v>
      </c>
      <c r="AC760" s="20">
        <f t="shared" si="259"/>
        <v>1079724800</v>
      </c>
      <c r="AD760" s="98">
        <f t="shared" si="262"/>
        <v>99.974518518518522</v>
      </c>
    </row>
    <row r="761" spans="2:30" ht="25.5">
      <c r="B761" s="13">
        <f t="shared" si="257"/>
        <v>60</v>
      </c>
      <c r="C761" s="74" t="s">
        <v>324</v>
      </c>
      <c r="D761" s="21" t="s">
        <v>325</v>
      </c>
      <c r="E761" s="204"/>
      <c r="F761" s="491">
        <v>1</v>
      </c>
      <c r="G761" s="741" t="s">
        <v>1845</v>
      </c>
      <c r="H761" s="583"/>
      <c r="I761" s="530"/>
      <c r="J761" s="15">
        <v>15000000</v>
      </c>
      <c r="K761" s="99">
        <v>15000000</v>
      </c>
      <c r="L761" s="57"/>
      <c r="M761" s="25"/>
      <c r="N761" s="49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9">
        <v>100</v>
      </c>
      <c r="Z761" s="19">
        <v>100</v>
      </c>
      <c r="AA761" s="22">
        <v>15000000</v>
      </c>
      <c r="AB761" s="98">
        <f t="shared" si="261"/>
        <v>100</v>
      </c>
      <c r="AC761" s="20">
        <f t="shared" si="259"/>
        <v>15000000</v>
      </c>
      <c r="AD761" s="98">
        <f t="shared" si="262"/>
        <v>100</v>
      </c>
    </row>
    <row r="762" spans="2:30" ht="22.5">
      <c r="B762" s="13">
        <f t="shared" si="257"/>
        <v>61</v>
      </c>
      <c r="C762" s="74" t="s">
        <v>326</v>
      </c>
      <c r="D762" s="21" t="s">
        <v>327</v>
      </c>
      <c r="E762" s="204"/>
      <c r="F762" s="491">
        <v>1</v>
      </c>
      <c r="G762" s="741" t="s">
        <v>1845</v>
      </c>
      <c r="H762" s="583"/>
      <c r="I762" s="530"/>
      <c r="J762" s="15">
        <v>120000000</v>
      </c>
      <c r="K762" s="99">
        <v>120000000</v>
      </c>
      <c r="L762" s="57"/>
      <c r="M762" s="25"/>
      <c r="N762" s="49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9">
        <v>100</v>
      </c>
      <c r="Z762" s="19">
        <v>96</v>
      </c>
      <c r="AA762" s="22">
        <v>115676000</v>
      </c>
      <c r="AB762" s="98">
        <f t="shared" si="261"/>
        <v>96.396666666666661</v>
      </c>
      <c r="AC762" s="20">
        <f t="shared" si="259"/>
        <v>115676000</v>
      </c>
      <c r="AD762" s="98">
        <f t="shared" si="262"/>
        <v>96.396666666666661</v>
      </c>
    </row>
    <row r="763" spans="2:30" ht="25.5">
      <c r="B763" s="13">
        <f t="shared" si="257"/>
        <v>62</v>
      </c>
      <c r="C763" s="74" t="s">
        <v>328</v>
      </c>
      <c r="D763" s="21" t="s">
        <v>329</v>
      </c>
      <c r="E763" s="204"/>
      <c r="F763" s="491">
        <v>1</v>
      </c>
      <c r="G763" s="741" t="s">
        <v>1845</v>
      </c>
      <c r="H763" s="583"/>
      <c r="I763" s="530"/>
      <c r="J763" s="15">
        <v>75000000</v>
      </c>
      <c r="K763" s="99">
        <v>75000000</v>
      </c>
      <c r="L763" s="57"/>
      <c r="M763" s="25"/>
      <c r="N763" s="49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9">
        <v>100</v>
      </c>
      <c r="Z763" s="19">
        <v>100</v>
      </c>
      <c r="AA763" s="22">
        <v>75000000</v>
      </c>
      <c r="AB763" s="98">
        <f t="shared" si="261"/>
        <v>100</v>
      </c>
      <c r="AC763" s="20">
        <f>AA763</f>
        <v>75000000</v>
      </c>
      <c r="AD763" s="20">
        <f t="shared" si="262"/>
        <v>100</v>
      </c>
    </row>
    <row r="764" spans="2:30">
      <c r="B764" s="13">
        <f t="shared" si="257"/>
        <v>63</v>
      </c>
      <c r="C764" s="81">
        <v>24.009</v>
      </c>
      <c r="D764" s="21" t="s">
        <v>330</v>
      </c>
      <c r="E764" s="204"/>
      <c r="F764" s="492">
        <v>1</v>
      </c>
      <c r="G764" s="652" t="s">
        <v>1845</v>
      </c>
      <c r="H764" s="583"/>
      <c r="I764" s="530"/>
      <c r="J764" s="15">
        <v>169400000</v>
      </c>
      <c r="K764" s="99">
        <v>169400000</v>
      </c>
      <c r="L764" s="57"/>
      <c r="M764" s="25"/>
      <c r="N764" s="49"/>
      <c r="O764" s="17"/>
      <c r="P764" s="17"/>
      <c r="Q764" s="17"/>
      <c r="R764" s="17"/>
      <c r="S764" s="17"/>
      <c r="T764" s="17"/>
      <c r="U764" s="17" t="s">
        <v>1</v>
      </c>
      <c r="V764" s="17"/>
      <c r="W764" s="17"/>
      <c r="X764" s="17"/>
      <c r="Y764" s="19">
        <v>100</v>
      </c>
      <c r="Z764" s="19">
        <v>100</v>
      </c>
      <c r="AA764" s="22">
        <v>169389200</v>
      </c>
      <c r="AB764" s="98">
        <f t="shared" si="261"/>
        <v>99.993624557260915</v>
      </c>
      <c r="AC764" s="20">
        <f>AA764</f>
        <v>169389200</v>
      </c>
      <c r="AD764" s="98">
        <f t="shared" si="262"/>
        <v>99.993624557260915</v>
      </c>
    </row>
    <row r="765" spans="2:30" ht="15.75">
      <c r="B765" s="37">
        <v>93</v>
      </c>
      <c r="C765" s="855" t="s">
        <v>331</v>
      </c>
      <c r="D765" s="855"/>
      <c r="E765" s="483"/>
      <c r="F765" s="495">
        <v>63</v>
      </c>
      <c r="G765" s="653" t="s">
        <v>1845</v>
      </c>
      <c r="H765" s="621">
        <f>H691</f>
        <v>1</v>
      </c>
      <c r="I765" s="621" t="str">
        <f>I691</f>
        <v>kegiatan</v>
      </c>
      <c r="J765" s="139">
        <f>SUM(J693:J764)</f>
        <v>8707230000</v>
      </c>
      <c r="K765" s="140">
        <f>SUM(K693:K764)</f>
        <v>17194603000</v>
      </c>
      <c r="L765" s="295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141">
        <f>SUM(Y693:Y764)/63</f>
        <v>98.412698412698418</v>
      </c>
      <c r="Z765" s="141">
        <f>SUM(Z693:Z764)/63</f>
        <v>90.253968253968253</v>
      </c>
      <c r="AA765" s="142">
        <f>SUM(AA693:AA764)</f>
        <v>12324320308</v>
      </c>
      <c r="AB765" s="141">
        <f>SUM(AB693:AB764)/63</f>
        <v>89.441697131007018</v>
      </c>
      <c r="AC765" s="142">
        <f>SUM(AC693:AC764)</f>
        <v>12308237908</v>
      </c>
      <c r="AD765" s="141">
        <f>SUM(AD693:AD764)/63</f>
        <v>89.317556431938513</v>
      </c>
    </row>
    <row r="766" spans="2:30">
      <c r="B766" s="66"/>
      <c r="C766" s="63" t="s">
        <v>332</v>
      </c>
      <c r="D766" s="118" t="s">
        <v>333</v>
      </c>
      <c r="E766" s="484"/>
      <c r="F766" s="563"/>
      <c r="G766" s="535"/>
      <c r="H766" s="242"/>
      <c r="I766" s="535"/>
      <c r="J766" s="127"/>
      <c r="K766" s="65"/>
      <c r="L766" s="66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2:30">
      <c r="B767" s="13"/>
      <c r="C767" s="86" t="s">
        <v>332</v>
      </c>
      <c r="D767" s="86" t="s">
        <v>334</v>
      </c>
      <c r="E767" s="485"/>
      <c r="F767" s="485"/>
      <c r="G767" s="441"/>
      <c r="H767" s="87"/>
      <c r="I767" s="441"/>
      <c r="J767" s="16"/>
      <c r="K767" s="25" t="s">
        <v>1</v>
      </c>
      <c r="L767" s="13"/>
      <c r="M767" s="17" t="s">
        <v>1</v>
      </c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</row>
    <row r="768" spans="2:30">
      <c r="B768" s="13"/>
      <c r="C768" s="143" t="s">
        <v>335</v>
      </c>
      <c r="D768" s="86" t="s">
        <v>336</v>
      </c>
      <c r="E768" s="485"/>
      <c r="F768" s="528">
        <v>1</v>
      </c>
      <c r="G768" s="59" t="s">
        <v>1845</v>
      </c>
      <c r="H768" s="87"/>
      <c r="I768" s="441"/>
      <c r="J768" s="144">
        <v>56643365000</v>
      </c>
      <c r="K768" s="742">
        <f>SUM(K769:K780)</f>
        <v>82530129000</v>
      </c>
      <c r="L768" s="13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45">
        <f>SUM(Y769:Y780)/12</f>
        <v>100</v>
      </c>
      <c r="Z768" s="145">
        <f>SUM(Z769:Z780)/12</f>
        <v>64.058279340401626</v>
      </c>
      <c r="AA768" s="144">
        <f>SUM(AA769:AA780)</f>
        <v>61668684101</v>
      </c>
      <c r="AB768" s="757">
        <f>SUM(AB769:AB780)/12</f>
        <v>63.497443680028276</v>
      </c>
      <c r="AC768" s="144">
        <f>AA768</f>
        <v>61668684101</v>
      </c>
      <c r="AD768" s="757">
        <f>SUM(AD769:AD780)/12</f>
        <v>87.026160844984304</v>
      </c>
    </row>
    <row r="769" spans="2:30" ht="15.75">
      <c r="B769" s="13">
        <v>1</v>
      </c>
      <c r="C769" s="123"/>
      <c r="D769" s="74" t="s">
        <v>28</v>
      </c>
      <c r="E769" s="204"/>
      <c r="F769" s="528">
        <v>1</v>
      </c>
      <c r="G769" s="59" t="s">
        <v>1845</v>
      </c>
      <c r="H769" s="89"/>
      <c r="I769" s="193"/>
      <c r="J769" s="148">
        <v>25000000000</v>
      </c>
      <c r="K769" s="25">
        <v>35000000000</v>
      </c>
      <c r="L769" s="13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53">
        <v>100</v>
      </c>
      <c r="Z769" s="53">
        <v>82.7</v>
      </c>
      <c r="AA769" s="15">
        <v>28967791101</v>
      </c>
      <c r="AB769" s="291">
        <f>AA769/K769*100</f>
        <v>82.765117431428564</v>
      </c>
      <c r="AC769" s="22">
        <f>AA769</f>
        <v>28967791101</v>
      </c>
      <c r="AD769" s="291">
        <f t="shared" ref="AD769:AD788" si="263">AC769/J769*100</f>
        <v>115.871164404</v>
      </c>
    </row>
    <row r="770" spans="2:30" ht="15.75">
      <c r="B770" s="13">
        <v>2</v>
      </c>
      <c r="C770" s="123"/>
      <c r="D770" s="74" t="s">
        <v>32</v>
      </c>
      <c r="E770" s="204"/>
      <c r="F770" s="528">
        <v>1</v>
      </c>
      <c r="G770" s="59" t="s">
        <v>1845</v>
      </c>
      <c r="H770" s="89"/>
      <c r="I770" s="193"/>
      <c r="J770" s="148">
        <v>1800000000</v>
      </c>
      <c r="K770" s="148">
        <v>3500000000</v>
      </c>
      <c r="L770" s="13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53">
        <v>100</v>
      </c>
      <c r="Z770" s="53">
        <v>40.700000000000003</v>
      </c>
      <c r="AA770" s="77">
        <v>1424360809</v>
      </c>
      <c r="AB770" s="291">
        <f t="shared" ref="AB770:AB780" si="264">AA770/K770*100</f>
        <v>40.696023114285715</v>
      </c>
      <c r="AC770" s="22">
        <f>AA770</f>
        <v>1424360809</v>
      </c>
      <c r="AD770" s="291">
        <f t="shared" si="263"/>
        <v>79.13115605555555</v>
      </c>
    </row>
    <row r="771" spans="2:30" ht="37.5" customHeight="1">
      <c r="B771" s="13">
        <v>3</v>
      </c>
      <c r="C771" s="123"/>
      <c r="D771" s="74" t="s">
        <v>337</v>
      </c>
      <c r="E771" s="204"/>
      <c r="F771" s="528">
        <v>1</v>
      </c>
      <c r="G771" s="59" t="s">
        <v>1845</v>
      </c>
      <c r="H771" s="89"/>
      <c r="I771" s="59"/>
      <c r="J771" s="148">
        <v>3039477000</v>
      </c>
      <c r="K771" s="148">
        <v>3039447000</v>
      </c>
      <c r="L771" s="13"/>
      <c r="M771" s="22">
        <v>2789000000</v>
      </c>
      <c r="N771" s="781" t="s">
        <v>2070</v>
      </c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53">
        <v>100</v>
      </c>
      <c r="Z771" s="53">
        <v>100</v>
      </c>
      <c r="AA771" s="77">
        <v>2832979000</v>
      </c>
      <c r="AB771" s="291">
        <f t="shared" si="264"/>
        <v>93.207053783138832</v>
      </c>
      <c r="AC771" s="22">
        <f>AA771</f>
        <v>2832979000</v>
      </c>
      <c r="AD771" s="291">
        <f t="shared" si="263"/>
        <v>93.206133818416788</v>
      </c>
    </row>
    <row r="772" spans="2:30" ht="15.75">
      <c r="B772" s="13">
        <v>4</v>
      </c>
      <c r="C772" s="123"/>
      <c r="D772" s="74" t="s">
        <v>338</v>
      </c>
      <c r="E772" s="204"/>
      <c r="F772" s="528">
        <v>1</v>
      </c>
      <c r="G772" s="59" t="s">
        <v>1845</v>
      </c>
      <c r="H772" s="89"/>
      <c r="I772" s="193"/>
      <c r="J772" s="148">
        <v>5000000000</v>
      </c>
      <c r="K772" s="148">
        <v>7500000000</v>
      </c>
      <c r="L772" s="13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53">
        <v>100</v>
      </c>
      <c r="Z772" s="53">
        <v>71.2</v>
      </c>
      <c r="AA772" s="77">
        <v>5340196991</v>
      </c>
      <c r="AB772" s="291">
        <f t="shared" si="264"/>
        <v>71.202626546666664</v>
      </c>
      <c r="AC772" s="22">
        <f>AA772</f>
        <v>5340196991</v>
      </c>
      <c r="AD772" s="291">
        <f t="shared" si="263"/>
        <v>106.80393982000001</v>
      </c>
    </row>
    <row r="773" spans="2:30" ht="15.75">
      <c r="B773" s="13">
        <v>5</v>
      </c>
      <c r="C773" s="123"/>
      <c r="D773" s="74" t="s">
        <v>339</v>
      </c>
      <c r="E773" s="204"/>
      <c r="F773" s="528">
        <v>1</v>
      </c>
      <c r="G773" s="59" t="s">
        <v>1845</v>
      </c>
      <c r="H773" s="89"/>
      <c r="I773" s="193"/>
      <c r="J773" s="148">
        <v>1500000000</v>
      </c>
      <c r="K773" s="148">
        <v>2500000000</v>
      </c>
      <c r="L773" s="13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53">
        <v>100</v>
      </c>
      <c r="Z773" s="53">
        <v>89.31</v>
      </c>
      <c r="AA773" s="77">
        <v>2232728780</v>
      </c>
      <c r="AB773" s="291">
        <f t="shared" si="264"/>
        <v>89.309151200000002</v>
      </c>
      <c r="AC773" s="22">
        <f t="shared" ref="AC773:AC776" si="265">AA773</f>
        <v>2232728780</v>
      </c>
      <c r="AD773" s="291">
        <f t="shared" si="263"/>
        <v>148.84858533333335</v>
      </c>
    </row>
    <row r="774" spans="2:30" ht="15.75">
      <c r="B774" s="13">
        <v>6</v>
      </c>
      <c r="C774" s="123"/>
      <c r="D774" s="74" t="s">
        <v>340</v>
      </c>
      <c r="E774" s="204"/>
      <c r="F774" s="528">
        <v>1</v>
      </c>
      <c r="G774" s="59" t="s">
        <v>1845</v>
      </c>
      <c r="H774" s="89"/>
      <c r="I774" s="193"/>
      <c r="J774" s="148">
        <v>3000000000</v>
      </c>
      <c r="K774" s="148">
        <v>7800000000</v>
      </c>
      <c r="L774" s="13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53">
        <v>100</v>
      </c>
      <c r="Z774" s="53">
        <f>AB774</f>
        <v>68.93549475641025</v>
      </c>
      <c r="AA774" s="77">
        <v>5376968591</v>
      </c>
      <c r="AB774" s="291">
        <f t="shared" si="264"/>
        <v>68.93549475641025</v>
      </c>
      <c r="AC774" s="22">
        <f t="shared" si="265"/>
        <v>5376968591</v>
      </c>
      <c r="AD774" s="291">
        <f t="shared" si="263"/>
        <v>179.23228636666667</v>
      </c>
    </row>
    <row r="775" spans="2:30" ht="15.75">
      <c r="B775" s="13">
        <v>7</v>
      </c>
      <c r="C775" s="123"/>
      <c r="D775" s="74" t="s">
        <v>341</v>
      </c>
      <c r="E775" s="204"/>
      <c r="F775" s="528">
        <v>1</v>
      </c>
      <c r="G775" s="59" t="s">
        <v>1845</v>
      </c>
      <c r="H775" s="89"/>
      <c r="I775" s="193"/>
      <c r="J775" s="148">
        <v>9974577000</v>
      </c>
      <c r="K775" s="148">
        <v>16267788000</v>
      </c>
      <c r="L775" s="13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53">
        <v>100</v>
      </c>
      <c r="Z775" s="53">
        <f t="shared" ref="Z775:Z780" si="266">AB775</f>
        <v>70.83490714287646</v>
      </c>
      <c r="AA775" s="77">
        <v>11523272524</v>
      </c>
      <c r="AB775" s="291">
        <f t="shared" si="264"/>
        <v>70.83490714287646</v>
      </c>
      <c r="AC775" s="22">
        <f t="shared" si="265"/>
        <v>11523272524</v>
      </c>
      <c r="AD775" s="291">
        <f t="shared" si="263"/>
        <v>115.52642807810297</v>
      </c>
    </row>
    <row r="776" spans="2:30" ht="27">
      <c r="B776" s="13">
        <v>8</v>
      </c>
      <c r="C776" s="123"/>
      <c r="D776" s="74" t="s">
        <v>342</v>
      </c>
      <c r="E776" s="204"/>
      <c r="F776" s="528">
        <v>1</v>
      </c>
      <c r="G776" s="59" t="s">
        <v>1845</v>
      </c>
      <c r="H776" s="89"/>
      <c r="I776" s="193"/>
      <c r="J776" s="148">
        <v>1001000000</v>
      </c>
      <c r="K776" s="148">
        <v>3005000000</v>
      </c>
      <c r="L776" s="13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53">
        <v>100</v>
      </c>
      <c r="Z776" s="53">
        <f t="shared" si="266"/>
        <v>68.519111647254576</v>
      </c>
      <c r="AA776" s="77">
        <v>2058999305</v>
      </c>
      <c r="AB776" s="291">
        <f t="shared" si="264"/>
        <v>68.519111647254576</v>
      </c>
      <c r="AC776" s="22">
        <f t="shared" si="265"/>
        <v>2058999305</v>
      </c>
      <c r="AD776" s="291">
        <f t="shared" si="263"/>
        <v>205.69423626373626</v>
      </c>
    </row>
    <row r="777" spans="2:30" ht="15.75">
      <c r="B777" s="13">
        <v>9</v>
      </c>
      <c r="C777" s="123"/>
      <c r="D777" s="74" t="s">
        <v>1460</v>
      </c>
      <c r="E777" s="204"/>
      <c r="F777" s="528">
        <v>1</v>
      </c>
      <c r="G777" s="59" t="s">
        <v>1845</v>
      </c>
      <c r="H777" s="89"/>
      <c r="I777" s="193"/>
      <c r="J777" s="148">
        <v>2630447000</v>
      </c>
      <c r="K777" s="148">
        <v>0</v>
      </c>
      <c r="L777" s="13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53">
        <v>100</v>
      </c>
      <c r="Z777" s="53">
        <f t="shared" si="266"/>
        <v>0</v>
      </c>
      <c r="AA777" s="77">
        <v>0</v>
      </c>
      <c r="AB777" s="291"/>
      <c r="AC777" s="22">
        <v>0</v>
      </c>
      <c r="AD777" s="291">
        <f t="shared" si="263"/>
        <v>0</v>
      </c>
    </row>
    <row r="778" spans="2:30" ht="15.75">
      <c r="B778" s="13">
        <v>10</v>
      </c>
      <c r="C778" s="123"/>
      <c r="D778" s="74" t="s">
        <v>1461</v>
      </c>
      <c r="E778" s="204"/>
      <c r="F778" s="528">
        <v>1</v>
      </c>
      <c r="G778" s="59" t="s">
        <v>1845</v>
      </c>
      <c r="H778" s="89"/>
      <c r="I778" s="193"/>
      <c r="J778" s="148">
        <v>1518447000</v>
      </c>
      <c r="K778" s="148">
        <v>1738447000</v>
      </c>
      <c r="L778" s="13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53">
        <v>100</v>
      </c>
      <c r="Z778" s="53">
        <f t="shared" si="266"/>
        <v>0</v>
      </c>
      <c r="AA778" s="77">
        <v>0</v>
      </c>
      <c r="AB778" s="291">
        <f t="shared" si="264"/>
        <v>0</v>
      </c>
      <c r="AC778" s="22">
        <v>0</v>
      </c>
      <c r="AD778" s="291">
        <f t="shared" si="263"/>
        <v>0</v>
      </c>
    </row>
    <row r="779" spans="2:30" ht="15.75">
      <c r="B779" s="13">
        <v>11</v>
      </c>
      <c r="C779" s="123"/>
      <c r="D779" s="74" t="s">
        <v>1462</v>
      </c>
      <c r="E779" s="204"/>
      <c r="F779" s="528">
        <v>1</v>
      </c>
      <c r="G779" s="59" t="s">
        <v>1845</v>
      </c>
      <c r="H779" s="89">
        <v>1</v>
      </c>
      <c r="I779" s="59" t="s">
        <v>1845</v>
      </c>
      <c r="J779" s="148">
        <v>1704447000</v>
      </c>
      <c r="K779" s="148">
        <v>1704447000</v>
      </c>
      <c r="L779" s="13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53">
        <v>100</v>
      </c>
      <c r="Z779" s="53">
        <f t="shared" si="266"/>
        <v>87.276049064593977</v>
      </c>
      <c r="AA779" s="77">
        <v>1487574000</v>
      </c>
      <c r="AB779" s="291">
        <f t="shared" si="264"/>
        <v>87.276049064593977</v>
      </c>
      <c r="AC779" s="22">
        <v>0</v>
      </c>
      <c r="AD779" s="291">
        <f t="shared" si="263"/>
        <v>0</v>
      </c>
    </row>
    <row r="780" spans="2:30" ht="15.75">
      <c r="B780" s="13">
        <v>12</v>
      </c>
      <c r="C780" s="123"/>
      <c r="D780" s="74" t="s">
        <v>2390</v>
      </c>
      <c r="E780" s="204"/>
      <c r="F780" s="528">
        <v>1</v>
      </c>
      <c r="G780" s="59" t="s">
        <v>1845</v>
      </c>
      <c r="H780" s="89"/>
      <c r="I780" s="193"/>
      <c r="J780" s="148">
        <v>475000000</v>
      </c>
      <c r="K780" s="148">
        <v>475000000</v>
      </c>
      <c r="L780" s="13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53">
        <v>100</v>
      </c>
      <c r="Z780" s="53">
        <f t="shared" si="266"/>
        <v>89.223789473684207</v>
      </c>
      <c r="AA780" s="77">
        <v>423813000</v>
      </c>
      <c r="AB780" s="291">
        <f t="shared" si="264"/>
        <v>89.223789473684207</v>
      </c>
      <c r="AC780" s="22">
        <v>0</v>
      </c>
      <c r="AD780" s="291">
        <f t="shared" si="263"/>
        <v>0</v>
      </c>
    </row>
    <row r="781" spans="2:30">
      <c r="B781" s="13"/>
      <c r="C781" s="86" t="s">
        <v>343</v>
      </c>
      <c r="D781" s="86" t="s">
        <v>344</v>
      </c>
      <c r="E781" s="488"/>
      <c r="F781" s="528"/>
      <c r="G781" s="59"/>
      <c r="H781" s="585"/>
      <c r="I781" s="475"/>
      <c r="J781" s="144">
        <v>8356635000</v>
      </c>
      <c r="K781" s="742">
        <f>SUM(K782:K787)</f>
        <v>9733400000</v>
      </c>
      <c r="L781" s="13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45">
        <f>SUM(Y782:Y787)/6</f>
        <v>100</v>
      </c>
      <c r="Z781" s="145">
        <f>SUM(Z782:Z787)/6</f>
        <v>82.673333333333332</v>
      </c>
      <c r="AA781" s="152">
        <f>SUM(AA782:AA787)</f>
        <v>8642825761</v>
      </c>
      <c r="AB781" s="758">
        <f>SUM(AB782:AB787)/6</f>
        <v>79.905597568207199</v>
      </c>
      <c r="AC781" s="192">
        <f>AA781</f>
        <v>8642825761</v>
      </c>
      <c r="AD781" s="758">
        <f>SUM(AD782:AD787)/6</f>
        <v>90.123796117673336</v>
      </c>
    </row>
    <row r="782" spans="2:30" ht="15.75">
      <c r="B782" s="13">
        <f>B780+1</f>
        <v>13</v>
      </c>
      <c r="C782" s="74"/>
      <c r="D782" s="74" t="s">
        <v>28</v>
      </c>
      <c r="E782" s="486"/>
      <c r="F782" s="528">
        <v>1</v>
      </c>
      <c r="G782" s="59" t="s">
        <v>1845</v>
      </c>
      <c r="H782" s="578"/>
      <c r="I782" s="473"/>
      <c r="J782" s="148">
        <v>6730635000</v>
      </c>
      <c r="K782" s="148">
        <v>7140000000</v>
      </c>
      <c r="L782" s="13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53">
        <v>100</v>
      </c>
      <c r="Z782" s="53">
        <v>93</v>
      </c>
      <c r="AA782" s="77">
        <v>6637074654</v>
      </c>
      <c r="AB782" s="291">
        <f>AA782/K782*100</f>
        <v>92.956227647058824</v>
      </c>
      <c r="AC782" s="259">
        <f t="shared" ref="AC782:AC785" si="267">AA782</f>
        <v>6637074654</v>
      </c>
      <c r="AD782" s="291">
        <f t="shared" si="263"/>
        <v>98.609932851803734</v>
      </c>
    </row>
    <row r="783" spans="2:30" ht="15.75">
      <c r="B783" s="13">
        <f>B782+1</f>
        <v>14</v>
      </c>
      <c r="C783" s="74"/>
      <c r="D783" s="74" t="s">
        <v>30</v>
      </c>
      <c r="E783" s="486"/>
      <c r="F783" s="528">
        <v>1</v>
      </c>
      <c r="G783" s="59" t="s">
        <v>1845</v>
      </c>
      <c r="H783" s="578"/>
      <c r="I783" s="473"/>
      <c r="J783" s="148">
        <v>230000000</v>
      </c>
      <c r="K783" s="148">
        <v>190000000</v>
      </c>
      <c r="L783" s="13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53">
        <v>100</v>
      </c>
      <c r="Z783" s="53">
        <v>77.66</v>
      </c>
      <c r="AA783" s="77">
        <v>140600390</v>
      </c>
      <c r="AB783" s="291">
        <f t="shared" ref="AB783:AB787" si="268">AA783/K783*100</f>
        <v>74.000205263157895</v>
      </c>
      <c r="AC783" s="259">
        <f t="shared" si="267"/>
        <v>140600390</v>
      </c>
      <c r="AD783" s="291">
        <f t="shared" si="263"/>
        <v>61.130604347826093</v>
      </c>
    </row>
    <row r="784" spans="2:30" ht="15.75">
      <c r="B784" s="13">
        <f t="shared" ref="B784:B787" si="269">B783+1</f>
        <v>15</v>
      </c>
      <c r="C784" s="74"/>
      <c r="D784" s="74" t="s">
        <v>32</v>
      </c>
      <c r="E784" s="486"/>
      <c r="F784" s="528">
        <v>1</v>
      </c>
      <c r="G784" s="59" t="s">
        <v>1845</v>
      </c>
      <c r="H784" s="578"/>
      <c r="I784" s="473"/>
      <c r="J784" s="148">
        <v>416000000</v>
      </c>
      <c r="K784" s="148">
        <v>673400000</v>
      </c>
      <c r="L784" s="13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53">
        <v>100</v>
      </c>
      <c r="Z784" s="53">
        <v>90.92</v>
      </c>
      <c r="AA784" s="77">
        <v>612280898</v>
      </c>
      <c r="AB784" s="291">
        <f t="shared" si="268"/>
        <v>90.923804276804276</v>
      </c>
      <c r="AC784" s="259">
        <f t="shared" si="267"/>
        <v>612280898</v>
      </c>
      <c r="AD784" s="291">
        <f t="shared" si="263"/>
        <v>147.18290817307692</v>
      </c>
    </row>
    <row r="785" spans="2:30" ht="15.75">
      <c r="B785" s="13">
        <f t="shared" si="269"/>
        <v>16</v>
      </c>
      <c r="C785" s="74"/>
      <c r="D785" s="74" t="s">
        <v>36</v>
      </c>
      <c r="E785" s="486"/>
      <c r="F785" s="528">
        <v>1</v>
      </c>
      <c r="G785" s="59" t="s">
        <v>1845</v>
      </c>
      <c r="H785" s="578"/>
      <c r="I785" s="473"/>
      <c r="J785" s="148">
        <v>650000000</v>
      </c>
      <c r="K785" s="148">
        <v>1250000000</v>
      </c>
      <c r="L785" s="13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53">
        <v>100</v>
      </c>
      <c r="Z785" s="53">
        <v>82.1</v>
      </c>
      <c r="AA785" s="77">
        <v>975201175</v>
      </c>
      <c r="AB785" s="291">
        <f t="shared" si="268"/>
        <v>78.01609400000001</v>
      </c>
      <c r="AC785" s="259">
        <f t="shared" si="267"/>
        <v>975201175</v>
      </c>
      <c r="AD785" s="291">
        <f t="shared" si="263"/>
        <v>150.03094999999999</v>
      </c>
    </row>
    <row r="786" spans="2:30" ht="27">
      <c r="B786" s="13">
        <f t="shared" si="269"/>
        <v>17</v>
      </c>
      <c r="C786" s="74"/>
      <c r="D786" s="74" t="s">
        <v>2392</v>
      </c>
      <c r="E786" s="486"/>
      <c r="F786" s="528">
        <v>1</v>
      </c>
      <c r="G786" s="59" t="s">
        <v>1845</v>
      </c>
      <c r="H786" s="578"/>
      <c r="I786" s="473"/>
      <c r="J786" s="148">
        <v>300000000</v>
      </c>
      <c r="K786" s="148">
        <v>450000000</v>
      </c>
      <c r="L786" s="13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53">
        <v>100</v>
      </c>
      <c r="Z786" s="53">
        <v>52.36</v>
      </c>
      <c r="AA786" s="77">
        <v>251365144</v>
      </c>
      <c r="AB786" s="291">
        <f t="shared" si="268"/>
        <v>55.858920888888889</v>
      </c>
      <c r="AC786" s="22">
        <f>AA786</f>
        <v>251365144</v>
      </c>
      <c r="AD786" s="291">
        <f t="shared" si="263"/>
        <v>83.788381333333334</v>
      </c>
    </row>
    <row r="787" spans="2:30" ht="15.75">
      <c r="B787" s="13">
        <f t="shared" si="269"/>
        <v>18</v>
      </c>
      <c r="C787" s="74"/>
      <c r="D787" s="74" t="s">
        <v>2069</v>
      </c>
      <c r="E787" s="486"/>
      <c r="F787" s="528">
        <v>1</v>
      </c>
      <c r="G787" s="59" t="s">
        <v>1845</v>
      </c>
      <c r="H787" s="578"/>
      <c r="I787" s="473"/>
      <c r="J787" s="148">
        <v>30000000</v>
      </c>
      <c r="K787" s="148">
        <v>30000000</v>
      </c>
      <c r="L787" s="13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53">
        <v>100</v>
      </c>
      <c r="Z787" s="53">
        <v>100</v>
      </c>
      <c r="AA787" s="77">
        <v>26303500</v>
      </c>
      <c r="AB787" s="291">
        <f t="shared" si="268"/>
        <v>87.678333333333342</v>
      </c>
      <c r="AC787" s="22">
        <v>0</v>
      </c>
      <c r="AD787" s="291">
        <f t="shared" si="263"/>
        <v>0</v>
      </c>
    </row>
    <row r="788" spans="2:30" ht="27">
      <c r="B788" s="153"/>
      <c r="C788" s="86" t="s">
        <v>249</v>
      </c>
      <c r="D788" s="86" t="s">
        <v>250</v>
      </c>
      <c r="E788" s="488"/>
      <c r="F788" s="528"/>
      <c r="G788" s="59"/>
      <c r="H788" s="585"/>
      <c r="I788" s="475"/>
      <c r="J788" s="144">
        <v>2000000000</v>
      </c>
      <c r="K788" s="144">
        <v>2000000000</v>
      </c>
      <c r="L788" s="13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828">
        <v>100</v>
      </c>
      <c r="Z788" s="718">
        <v>99.96</v>
      </c>
      <c r="AA788" s="759">
        <f>AA789</f>
        <v>1999836158</v>
      </c>
      <c r="AB788" s="147">
        <f t="shared" ref="AB788" si="270">AA788/J788*100</f>
        <v>99.991807899999998</v>
      </c>
      <c r="AC788" s="192">
        <f>AC789</f>
        <v>1999836158</v>
      </c>
      <c r="AD788" s="147">
        <f t="shared" si="263"/>
        <v>99.991807899999998</v>
      </c>
    </row>
    <row r="789" spans="2:30" ht="40.5">
      <c r="B789" s="13">
        <f>B787+1</f>
        <v>19</v>
      </c>
      <c r="C789" s="74" t="s">
        <v>345</v>
      </c>
      <c r="D789" s="74" t="s">
        <v>346</v>
      </c>
      <c r="E789" s="204"/>
      <c r="F789" s="528">
        <v>1</v>
      </c>
      <c r="G789" s="59" t="s">
        <v>1845</v>
      </c>
      <c r="H789" s="89"/>
      <c r="I789" s="193"/>
      <c r="J789" s="15">
        <v>2000000000</v>
      </c>
      <c r="K789" s="15">
        <v>2000000000</v>
      </c>
      <c r="L789" s="13" t="s">
        <v>1</v>
      </c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53">
        <v>100</v>
      </c>
      <c r="Z789" s="53">
        <v>99.96</v>
      </c>
      <c r="AA789" s="77">
        <v>1999836158</v>
      </c>
      <c r="AB789" s="291">
        <f>AA789/K789*100</f>
        <v>99.991807899999998</v>
      </c>
      <c r="AC789" s="22">
        <f>AA789</f>
        <v>1999836158</v>
      </c>
      <c r="AD789" s="760">
        <f>AC789/K789*100</f>
        <v>99.991807899999998</v>
      </c>
    </row>
    <row r="790" spans="2:30" ht="27">
      <c r="B790" s="13"/>
      <c r="C790" s="86" t="s">
        <v>347</v>
      </c>
      <c r="D790" s="86" t="s">
        <v>348</v>
      </c>
      <c r="E790" s="485"/>
      <c r="F790" s="528"/>
      <c r="G790" s="59"/>
      <c r="H790" s="87"/>
      <c r="I790" s="441"/>
      <c r="J790" s="130">
        <f>SUM(J791:J792)</f>
        <v>3913186000</v>
      </c>
      <c r="K790" s="130">
        <f>SUM(K791:K792)</f>
        <v>3913186000</v>
      </c>
      <c r="L790" s="13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47">
        <v>100</v>
      </c>
      <c r="Z790" s="147">
        <f>Z791</f>
        <v>100</v>
      </c>
      <c r="AA790" s="152">
        <f>SUM(AA791:AA792)</f>
        <v>1454298650</v>
      </c>
      <c r="AB790" s="758">
        <f>SUM(AB791:AB792)/2</f>
        <v>45.040036829857335</v>
      </c>
      <c r="AC790" s="152">
        <f>SUM(AC791:AC792)</f>
        <v>1454298650</v>
      </c>
      <c r="AD790" s="758">
        <f>SUM(AD791:AD792)/2</f>
        <v>45.040036829857335</v>
      </c>
    </row>
    <row r="791" spans="2:30" ht="45">
      <c r="B791" s="45">
        <f>B789+1</f>
        <v>20</v>
      </c>
      <c r="C791" s="93" t="s">
        <v>349</v>
      </c>
      <c r="D791" s="74" t="s">
        <v>350</v>
      </c>
      <c r="E791" s="489"/>
      <c r="F791" s="528">
        <v>1</v>
      </c>
      <c r="G791" s="59" t="s">
        <v>1845</v>
      </c>
      <c r="H791" s="186"/>
      <c r="I791" s="240"/>
      <c r="J791" s="15">
        <v>1614451000</v>
      </c>
      <c r="K791" s="15">
        <v>1614451000</v>
      </c>
      <c r="L791" s="45"/>
      <c r="M791" s="73">
        <v>1501187000</v>
      </c>
      <c r="N791" s="642" t="s">
        <v>2071</v>
      </c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55">
        <v>100</v>
      </c>
      <c r="Z791" s="55">
        <v>100</v>
      </c>
      <c r="AA791" s="154">
        <v>1454298650</v>
      </c>
      <c r="AB791" s="291">
        <f>AA791/K791*100</f>
        <v>90.080073659714671</v>
      </c>
      <c r="AC791" s="22">
        <f>AA791</f>
        <v>1454298650</v>
      </c>
      <c r="AD791" s="291">
        <f>AC791/K791*100</f>
        <v>90.080073659714671</v>
      </c>
    </row>
    <row r="792" spans="2:30" ht="25.5">
      <c r="B792" s="45">
        <f>B791+1</f>
        <v>21</v>
      </c>
      <c r="C792" s="155">
        <v>21.003</v>
      </c>
      <c r="D792" s="21" t="s">
        <v>351</v>
      </c>
      <c r="E792" s="507"/>
      <c r="F792" s="608">
        <v>1</v>
      </c>
      <c r="G792" s="270" t="s">
        <v>1845</v>
      </c>
      <c r="H792" s="186">
        <v>1</v>
      </c>
      <c r="I792" s="270" t="s">
        <v>1845</v>
      </c>
      <c r="J792" s="15">
        <v>2298735000</v>
      </c>
      <c r="K792" s="15">
        <v>2298735000</v>
      </c>
      <c r="L792" s="32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56">
        <v>0</v>
      </c>
      <c r="Z792" s="56">
        <v>0</v>
      </c>
      <c r="AA792" s="156">
        <v>0</v>
      </c>
      <c r="AB792" s="291">
        <f>AA792/K792*100</f>
        <v>0</v>
      </c>
      <c r="AC792" s="22">
        <v>0</v>
      </c>
      <c r="AD792" s="291">
        <f>AC792/J792*100</f>
        <v>0</v>
      </c>
    </row>
    <row r="793" spans="2:30" ht="21" customHeight="1">
      <c r="B793" s="37">
        <v>94</v>
      </c>
      <c r="C793" s="855" t="s">
        <v>352</v>
      </c>
      <c r="D793" s="855"/>
      <c r="E793" s="483"/>
      <c r="F793" s="483">
        <v>5</v>
      </c>
      <c r="G793" s="567" t="s">
        <v>1845</v>
      </c>
      <c r="H793" s="483">
        <f>SUM(H769:H792)</f>
        <v>2</v>
      </c>
      <c r="I793" s="567" t="s">
        <v>1845</v>
      </c>
      <c r="J793" s="35">
        <f>SUM(J768+J781+J788+J790)</f>
        <v>70913186000</v>
      </c>
      <c r="K793" s="35">
        <f>SUM(K768+K781+K788+K790)</f>
        <v>98176715000</v>
      </c>
      <c r="L793" s="37"/>
      <c r="M793" s="38"/>
      <c r="N793" s="38"/>
      <c r="O793" s="38"/>
      <c r="P793" s="38"/>
      <c r="Q793" s="38"/>
      <c r="R793" s="618" t="s">
        <v>1459</v>
      </c>
      <c r="S793" s="37" t="s">
        <v>1458</v>
      </c>
      <c r="T793" s="619">
        <v>2</v>
      </c>
      <c r="U793" s="619" t="s">
        <v>1459</v>
      </c>
      <c r="V793" s="619">
        <v>2</v>
      </c>
      <c r="W793" s="619" t="s">
        <v>1459</v>
      </c>
      <c r="X793" s="619"/>
      <c r="Y793" s="68">
        <f>SUM(Y768+Y781+Y788+Y790)/4</f>
        <v>100</v>
      </c>
      <c r="Z793" s="84">
        <f>SUM(Z768+Z781+Z788+Z790)/4</f>
        <v>86.672903168433734</v>
      </c>
      <c r="AA793" s="68">
        <f>AA768+AA781+AA788+AA790</f>
        <v>73765644670</v>
      </c>
      <c r="AB793" s="84">
        <f>SUM(AB768+AB781+AB788+AB790)/4</f>
        <v>72.108721494523195</v>
      </c>
      <c r="AC793" s="68">
        <f>SUM(AC768+AC781+AC788+AC790)</f>
        <v>73765644670</v>
      </c>
      <c r="AD793" s="84">
        <f>SUM(AD768+AD781+AD788+AD790)/4</f>
        <v>80.545450423128742</v>
      </c>
    </row>
    <row r="794" spans="2:30">
      <c r="B794" s="66"/>
      <c r="C794" s="63" t="s">
        <v>1766</v>
      </c>
      <c r="D794" s="118" t="s">
        <v>1767</v>
      </c>
      <c r="E794" s="484"/>
      <c r="F794" s="484"/>
      <c r="G794" s="472"/>
      <c r="H794" s="242"/>
      <c r="I794" s="472"/>
      <c r="J794" s="65"/>
      <c r="K794" s="65"/>
      <c r="L794" s="66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136"/>
      <c r="AC794" s="63"/>
      <c r="AD794" s="63"/>
    </row>
    <row r="795" spans="2:30">
      <c r="B795" s="13">
        <v>1</v>
      </c>
      <c r="C795" s="74" t="s">
        <v>203</v>
      </c>
      <c r="D795" s="74" t="s">
        <v>28</v>
      </c>
      <c r="E795" s="204"/>
      <c r="F795" s="204"/>
      <c r="G795" s="193"/>
      <c r="H795" s="89"/>
      <c r="I795" s="193"/>
      <c r="J795" s="15">
        <v>257755000</v>
      </c>
      <c r="K795" s="99">
        <v>379114000</v>
      </c>
      <c r="L795" s="13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53">
        <f>AB795</f>
        <v>91.881703128874165</v>
      </c>
      <c r="Z795" s="53">
        <f>AD795</f>
        <v>91.881703128874165</v>
      </c>
      <c r="AA795" s="22">
        <v>348336400</v>
      </c>
      <c r="AB795" s="19">
        <f>AA795/K795*100</f>
        <v>91.881703128874165</v>
      </c>
      <c r="AC795" s="53">
        <f>AA795</f>
        <v>348336400</v>
      </c>
      <c r="AD795" s="19">
        <f>AC795/K795*100</f>
        <v>91.881703128874165</v>
      </c>
    </row>
    <row r="796" spans="2:30">
      <c r="B796" s="13">
        <v>2</v>
      </c>
      <c r="C796" s="74" t="s">
        <v>210</v>
      </c>
      <c r="D796" s="74" t="s">
        <v>30</v>
      </c>
      <c r="E796" s="204"/>
      <c r="F796" s="204"/>
      <c r="G796" s="193"/>
      <c r="H796" s="89"/>
      <c r="I796" s="193"/>
      <c r="J796" s="15">
        <v>6545000</v>
      </c>
      <c r="K796" s="99">
        <v>12860000</v>
      </c>
      <c r="L796" s="13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53">
        <f t="shared" ref="Y796:Y800" si="271">AB796</f>
        <v>93.604199066874031</v>
      </c>
      <c r="Z796" s="53">
        <f t="shared" ref="Z796:Z800" si="272">AD796</f>
        <v>93.604199066874031</v>
      </c>
      <c r="AA796" s="22">
        <v>12037500</v>
      </c>
      <c r="AB796" s="19">
        <f t="shared" ref="AB796:AB800" si="273">AA796/K796*100</f>
        <v>93.604199066874031</v>
      </c>
      <c r="AC796" s="53">
        <f t="shared" ref="AC796:AC800" si="274">AA796</f>
        <v>12037500</v>
      </c>
      <c r="AD796" s="19">
        <f t="shared" ref="AD796:AD800" si="275">AC796/K796*100</f>
        <v>93.604199066874031</v>
      </c>
    </row>
    <row r="797" spans="2:30">
      <c r="B797" s="13">
        <v>3</v>
      </c>
      <c r="C797" s="74" t="s">
        <v>204</v>
      </c>
      <c r="D797" s="74" t="s">
        <v>32</v>
      </c>
      <c r="E797" s="204"/>
      <c r="F797" s="204"/>
      <c r="G797" s="193"/>
      <c r="H797" s="89"/>
      <c r="I797" s="193"/>
      <c r="J797" s="15">
        <v>93040000</v>
      </c>
      <c r="K797" s="99">
        <v>164766000</v>
      </c>
      <c r="L797" s="13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53">
        <f t="shared" si="271"/>
        <v>93.275204229027835</v>
      </c>
      <c r="Z797" s="53">
        <f t="shared" si="272"/>
        <v>93.275204229027835</v>
      </c>
      <c r="AA797" s="22">
        <v>153685823</v>
      </c>
      <c r="AB797" s="19">
        <f t="shared" si="273"/>
        <v>93.275204229027835</v>
      </c>
      <c r="AC797" s="53">
        <f t="shared" si="274"/>
        <v>153685823</v>
      </c>
      <c r="AD797" s="19">
        <f t="shared" si="275"/>
        <v>93.275204229027835</v>
      </c>
    </row>
    <row r="798" spans="2:30">
      <c r="B798" s="13">
        <v>4</v>
      </c>
      <c r="C798" s="74" t="s">
        <v>205</v>
      </c>
      <c r="D798" s="74" t="s">
        <v>34</v>
      </c>
      <c r="E798" s="204"/>
      <c r="F798" s="204"/>
      <c r="G798" s="193"/>
      <c r="H798" s="89"/>
      <c r="I798" s="193"/>
      <c r="J798" s="15">
        <v>510798000</v>
      </c>
      <c r="K798" s="99">
        <v>1229420000</v>
      </c>
      <c r="L798" s="13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53">
        <f t="shared" si="271"/>
        <v>98.296485334547995</v>
      </c>
      <c r="Z798" s="53">
        <f t="shared" si="272"/>
        <v>98.296485334547995</v>
      </c>
      <c r="AA798" s="22">
        <v>1208476650</v>
      </c>
      <c r="AB798" s="19">
        <f t="shared" si="273"/>
        <v>98.296485334547995</v>
      </c>
      <c r="AC798" s="53">
        <f t="shared" si="274"/>
        <v>1208476650</v>
      </c>
      <c r="AD798" s="19">
        <f t="shared" si="275"/>
        <v>98.296485334547995</v>
      </c>
    </row>
    <row r="799" spans="2:30">
      <c r="B799" s="13">
        <v>5</v>
      </c>
      <c r="C799" s="74" t="s">
        <v>215</v>
      </c>
      <c r="D799" s="74" t="s">
        <v>36</v>
      </c>
      <c r="E799" s="204"/>
      <c r="F799" s="204"/>
      <c r="G799" s="193"/>
      <c r="H799" s="89"/>
      <c r="I799" s="193"/>
      <c r="J799" s="15">
        <v>10000000</v>
      </c>
      <c r="K799" s="99">
        <v>10000000</v>
      </c>
      <c r="L799" s="13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53">
        <f t="shared" si="271"/>
        <v>87.99</v>
      </c>
      <c r="Z799" s="53">
        <f t="shared" si="272"/>
        <v>87.99</v>
      </c>
      <c r="AA799" s="22">
        <f>8799000</f>
        <v>8799000</v>
      </c>
      <c r="AB799" s="19">
        <f t="shared" si="273"/>
        <v>87.99</v>
      </c>
      <c r="AC799" s="53">
        <f t="shared" si="274"/>
        <v>8799000</v>
      </c>
      <c r="AD799" s="19">
        <f t="shared" si="275"/>
        <v>87.99</v>
      </c>
    </row>
    <row r="800" spans="2:30" ht="27">
      <c r="B800" s="45">
        <v>6</v>
      </c>
      <c r="C800" s="93" t="s">
        <v>353</v>
      </c>
      <c r="D800" s="93" t="s">
        <v>1768</v>
      </c>
      <c r="E800" s="489"/>
      <c r="F800" s="489"/>
      <c r="G800" s="240"/>
      <c r="H800" s="186"/>
      <c r="I800" s="240"/>
      <c r="J800" s="15">
        <v>2122126000</v>
      </c>
      <c r="K800" s="99">
        <v>6253488000</v>
      </c>
      <c r="L800" s="45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55">
        <f t="shared" si="271"/>
        <v>99.249918077719187</v>
      </c>
      <c r="Z800" s="55">
        <f t="shared" si="272"/>
        <v>99.249918077719187</v>
      </c>
      <c r="AA800" s="73">
        <v>6206581717</v>
      </c>
      <c r="AB800" s="19">
        <f t="shared" si="273"/>
        <v>99.249918077719187</v>
      </c>
      <c r="AC800" s="55">
        <f t="shared" si="274"/>
        <v>6206581717</v>
      </c>
      <c r="AD800" s="19">
        <f t="shared" si="275"/>
        <v>99.249918077719187</v>
      </c>
    </row>
    <row r="801" spans="2:31">
      <c r="B801" s="37">
        <v>95</v>
      </c>
      <c r="C801" s="855" t="s">
        <v>1769</v>
      </c>
      <c r="D801" s="855"/>
      <c r="E801" s="483"/>
      <c r="F801" s="483">
        <v>6</v>
      </c>
      <c r="G801" s="468"/>
      <c r="H801" s="526"/>
      <c r="I801" s="468"/>
      <c r="J801" s="35">
        <f>SUM(J795:J800)</f>
        <v>3000264000</v>
      </c>
      <c r="K801" s="35">
        <f>SUM(K795:K800)</f>
        <v>8049648000</v>
      </c>
      <c r="L801" s="37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82">
        <f>SUM(Y795:Y800)/6</f>
        <v>94.049584972840535</v>
      </c>
      <c r="Z801" s="82">
        <f>SUM(Z795:Z800)/6</f>
        <v>94.049584972840535</v>
      </c>
      <c r="AA801" s="35">
        <f>SUM(AA795:AA800)</f>
        <v>7937917090</v>
      </c>
      <c r="AB801" s="35">
        <f>SUM(AB795:AB800)/6</f>
        <v>94.049584972840535</v>
      </c>
      <c r="AC801" s="35">
        <f>SUM(AC795:AC800)</f>
        <v>7937917090</v>
      </c>
      <c r="AD801" s="35">
        <f>SUM(AD795:AD800)/6</f>
        <v>94.049584972840535</v>
      </c>
    </row>
    <row r="802" spans="2:31">
      <c r="B802" s="66"/>
      <c r="C802" s="63" t="s">
        <v>1770</v>
      </c>
      <c r="D802" s="118" t="s">
        <v>1771</v>
      </c>
      <c r="E802" s="484"/>
      <c r="F802" s="484"/>
      <c r="G802" s="472"/>
      <c r="H802" s="242"/>
      <c r="I802" s="472"/>
      <c r="J802" s="65"/>
      <c r="K802" s="65"/>
      <c r="L802" s="66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2:31">
      <c r="B803" s="13">
        <f t="shared" ref="B803:B810" si="276">B802+1</f>
        <v>1</v>
      </c>
      <c r="C803" s="21" t="s">
        <v>203</v>
      </c>
      <c r="D803" s="21" t="s">
        <v>28</v>
      </c>
      <c r="E803" s="204"/>
      <c r="F803" s="204"/>
      <c r="G803" s="193"/>
      <c r="H803" s="89"/>
      <c r="I803" s="193"/>
      <c r="J803" s="15">
        <v>97602000</v>
      </c>
      <c r="K803" s="99">
        <v>87648000</v>
      </c>
      <c r="L803" s="13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98">
        <f>Z803</f>
        <v>74.854749680540351</v>
      </c>
      <c r="Z803" s="98">
        <f>AB803</f>
        <v>74.854749680540351</v>
      </c>
      <c r="AA803" s="99">
        <v>65608691</v>
      </c>
      <c r="AB803" s="98">
        <f>AA803/K803*100</f>
        <v>74.854749680540351</v>
      </c>
      <c r="AC803" s="20">
        <f t="shared" ref="AC803:AC810" si="277">AA803</f>
        <v>65608691</v>
      </c>
      <c r="AD803" s="98">
        <f>AC803/K803*100</f>
        <v>74.854749680540351</v>
      </c>
    </row>
    <row r="804" spans="2:31">
      <c r="B804" s="13">
        <f t="shared" si="276"/>
        <v>2</v>
      </c>
      <c r="C804" s="21" t="s">
        <v>210</v>
      </c>
      <c r="D804" s="21" t="s">
        <v>30</v>
      </c>
      <c r="E804" s="204"/>
      <c r="F804" s="204"/>
      <c r="G804" s="193"/>
      <c r="H804" s="89"/>
      <c r="I804" s="193"/>
      <c r="J804" s="15">
        <v>27270000</v>
      </c>
      <c r="K804" s="99">
        <v>21320000</v>
      </c>
      <c r="L804" s="13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98">
        <f>AB804</f>
        <v>71.99108818011257</v>
      </c>
      <c r="Z804" s="98">
        <f>AD804</f>
        <v>71.99108818011257</v>
      </c>
      <c r="AA804" s="22">
        <v>15348500</v>
      </c>
      <c r="AB804" s="98">
        <f t="shared" ref="AB804:AB810" si="278">AA804/K804*100</f>
        <v>71.99108818011257</v>
      </c>
      <c r="AC804" s="20">
        <f t="shared" si="277"/>
        <v>15348500</v>
      </c>
      <c r="AD804" s="98">
        <f t="shared" ref="AD804:AD810" si="279">AC804/K804*100</f>
        <v>71.99108818011257</v>
      </c>
    </row>
    <row r="805" spans="2:31">
      <c r="B805" s="13">
        <f t="shared" si="276"/>
        <v>3</v>
      </c>
      <c r="C805" s="21" t="s">
        <v>204</v>
      </c>
      <c r="D805" s="21" t="s">
        <v>32</v>
      </c>
      <c r="E805" s="204"/>
      <c r="F805" s="204"/>
      <c r="G805" s="193"/>
      <c r="H805" s="89"/>
      <c r="I805" s="193"/>
      <c r="J805" s="15">
        <v>53886000</v>
      </c>
      <c r="K805" s="99">
        <v>23608000</v>
      </c>
      <c r="L805" s="13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98">
        <f t="shared" ref="Y805:Y810" si="280">Z805</f>
        <v>90.447729583192142</v>
      </c>
      <c r="Z805" s="98">
        <f t="shared" ref="Z805:Z810" si="281">AB805</f>
        <v>90.447729583192142</v>
      </c>
      <c r="AA805" s="22">
        <v>21352900</v>
      </c>
      <c r="AB805" s="98">
        <f t="shared" si="278"/>
        <v>90.447729583192142</v>
      </c>
      <c r="AC805" s="20">
        <f t="shared" si="277"/>
        <v>21352900</v>
      </c>
      <c r="AD805" s="98">
        <f t="shared" si="279"/>
        <v>90.447729583192142</v>
      </c>
    </row>
    <row r="806" spans="2:31">
      <c r="B806" s="13">
        <f t="shared" si="276"/>
        <v>4</v>
      </c>
      <c r="C806" s="21" t="s">
        <v>205</v>
      </c>
      <c r="D806" s="21" t="s">
        <v>34</v>
      </c>
      <c r="E806" s="204"/>
      <c r="F806" s="204"/>
      <c r="G806" s="193"/>
      <c r="H806" s="89"/>
      <c r="I806" s="193"/>
      <c r="J806" s="15">
        <v>6850000</v>
      </c>
      <c r="K806" s="99">
        <v>4600000</v>
      </c>
      <c r="L806" s="13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20">
        <f t="shared" si="280"/>
        <v>100</v>
      </c>
      <c r="Z806" s="98">
        <f t="shared" si="281"/>
        <v>100</v>
      </c>
      <c r="AA806" s="22">
        <v>4600000</v>
      </c>
      <c r="AB806" s="98">
        <f t="shared" si="278"/>
        <v>100</v>
      </c>
      <c r="AC806" s="20">
        <f t="shared" si="277"/>
        <v>4600000</v>
      </c>
      <c r="AD806" s="98">
        <f t="shared" si="279"/>
        <v>100</v>
      </c>
    </row>
    <row r="807" spans="2:31" ht="27">
      <c r="B807" s="13">
        <f t="shared" si="276"/>
        <v>5</v>
      </c>
      <c r="C807" s="74" t="s">
        <v>353</v>
      </c>
      <c r="D807" s="74" t="s">
        <v>1768</v>
      </c>
      <c r="E807" s="204"/>
      <c r="F807" s="204"/>
      <c r="G807" s="193"/>
      <c r="H807" s="89"/>
      <c r="I807" s="193"/>
      <c r="J807" s="15">
        <v>114588000</v>
      </c>
      <c r="K807" s="99">
        <v>121878000</v>
      </c>
      <c r="L807" s="13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98">
        <f t="shared" si="280"/>
        <v>99.671802950491468</v>
      </c>
      <c r="Z807" s="98">
        <f t="shared" si="281"/>
        <v>99.671802950491468</v>
      </c>
      <c r="AA807" s="22">
        <v>121478000</v>
      </c>
      <c r="AB807" s="98">
        <f t="shared" si="278"/>
        <v>99.671802950491468</v>
      </c>
      <c r="AC807" s="20">
        <f t="shared" si="277"/>
        <v>121478000</v>
      </c>
      <c r="AD807" s="98">
        <f t="shared" si="279"/>
        <v>99.671802950491468</v>
      </c>
      <c r="AE807" s="2" t="s">
        <v>1</v>
      </c>
    </row>
    <row r="808" spans="2:31">
      <c r="B808" s="13">
        <f t="shared" si="276"/>
        <v>6</v>
      </c>
      <c r="C808" s="74" t="s">
        <v>251</v>
      </c>
      <c r="D808" s="74" t="s">
        <v>252</v>
      </c>
      <c r="E808" s="204"/>
      <c r="F808" s="204"/>
      <c r="G808" s="193"/>
      <c r="H808" s="89"/>
      <c r="I808" s="193"/>
      <c r="J808" s="15">
        <v>38493000</v>
      </c>
      <c r="K808" s="99">
        <v>38493000</v>
      </c>
      <c r="L808" s="13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98">
        <f t="shared" si="280"/>
        <v>95.552149741511442</v>
      </c>
      <c r="Z808" s="98">
        <f t="shared" si="281"/>
        <v>95.552149741511442</v>
      </c>
      <c r="AA808" s="22">
        <v>36780889</v>
      </c>
      <c r="AB808" s="98">
        <f t="shared" si="278"/>
        <v>95.552149741511442</v>
      </c>
      <c r="AC808" s="22">
        <f t="shared" si="277"/>
        <v>36780889</v>
      </c>
      <c r="AD808" s="98">
        <f t="shared" si="279"/>
        <v>95.552149741511442</v>
      </c>
    </row>
    <row r="809" spans="2:31">
      <c r="B809" s="13">
        <f t="shared" si="276"/>
        <v>7</v>
      </c>
      <c r="C809" s="58" t="s">
        <v>354</v>
      </c>
      <c r="D809" s="59" t="s">
        <v>1772</v>
      </c>
      <c r="E809" s="204"/>
      <c r="F809" s="204"/>
      <c r="G809" s="193"/>
      <c r="H809" s="89"/>
      <c r="I809" s="193"/>
      <c r="J809" s="15">
        <v>1068575000</v>
      </c>
      <c r="K809" s="99">
        <v>1193232000</v>
      </c>
      <c r="L809" s="13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98">
        <f t="shared" si="280"/>
        <v>91.541874170320597</v>
      </c>
      <c r="Z809" s="98">
        <f t="shared" si="281"/>
        <v>91.541874170320597</v>
      </c>
      <c r="AA809" s="22">
        <v>1092306936</v>
      </c>
      <c r="AB809" s="98">
        <f t="shared" si="278"/>
        <v>91.541874170320597</v>
      </c>
      <c r="AC809" s="17">
        <f t="shared" si="277"/>
        <v>1092306936</v>
      </c>
      <c r="AD809" s="98">
        <f t="shared" si="279"/>
        <v>91.541874170320597</v>
      </c>
    </row>
    <row r="810" spans="2:31" ht="25.5">
      <c r="B810" s="386">
        <f t="shared" si="276"/>
        <v>8</v>
      </c>
      <c r="C810" s="316" t="s">
        <v>355</v>
      </c>
      <c r="D810" s="387" t="s">
        <v>1773</v>
      </c>
      <c r="E810" s="507"/>
      <c r="F810" s="489"/>
      <c r="G810" s="240"/>
      <c r="H810" s="186"/>
      <c r="I810" s="240"/>
      <c r="J810" s="15">
        <v>71425000</v>
      </c>
      <c r="K810" s="99">
        <v>112336000</v>
      </c>
      <c r="L810" s="32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98">
        <f t="shared" si="280"/>
        <v>35.667773465318334</v>
      </c>
      <c r="Z810" s="98">
        <f t="shared" si="281"/>
        <v>35.667773465318334</v>
      </c>
      <c r="AA810" s="325">
        <v>40067750</v>
      </c>
      <c r="AB810" s="98">
        <f t="shared" si="278"/>
        <v>35.667773465318334</v>
      </c>
      <c r="AC810" s="33">
        <f t="shared" si="277"/>
        <v>40067750</v>
      </c>
      <c r="AD810" s="98">
        <f t="shared" si="279"/>
        <v>35.667773465318334</v>
      </c>
    </row>
    <row r="811" spans="2:31">
      <c r="B811" s="388">
        <v>96</v>
      </c>
      <c r="C811" s="855" t="s">
        <v>1774</v>
      </c>
      <c r="D811" s="855"/>
      <c r="E811" s="483"/>
      <c r="F811" s="483">
        <v>8</v>
      </c>
      <c r="G811" s="468"/>
      <c r="H811" s="526"/>
      <c r="I811" s="468"/>
      <c r="J811" s="35">
        <f>SUM(J803:J810)</f>
        <v>1478689000</v>
      </c>
      <c r="K811" s="35">
        <f>SUM(K803:K810)</f>
        <v>1603115000</v>
      </c>
      <c r="L811" s="37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82">
        <f>SUM(Y803:Y810)/8</f>
        <v>82.46589597143587</v>
      </c>
      <c r="Z811" s="82">
        <f>SUM(Z803:Z810)/8</f>
        <v>82.46589597143587</v>
      </c>
      <c r="AA811" s="35">
        <f>SUM(AA803:AA810)</f>
        <v>1397543666</v>
      </c>
      <c r="AB811" s="82">
        <f>SUM(AB803:AB810)/8</f>
        <v>82.46589597143587</v>
      </c>
      <c r="AC811" s="35">
        <f>SUM(AC803:AC810)</f>
        <v>1397543666</v>
      </c>
      <c r="AD811" s="82">
        <f>SUM(AD803:AD810)/8</f>
        <v>82.46589597143587</v>
      </c>
    </row>
    <row r="812" spans="2:31">
      <c r="B812" s="66"/>
      <c r="C812" s="63" t="s">
        <v>1775</v>
      </c>
      <c r="D812" s="118" t="s">
        <v>1776</v>
      </c>
      <c r="E812" s="484"/>
      <c r="F812" s="484"/>
      <c r="G812" s="472"/>
      <c r="H812" s="242"/>
      <c r="I812" s="472"/>
      <c r="J812" s="65"/>
      <c r="K812" s="65"/>
      <c r="L812" s="66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2:31">
      <c r="B813" s="13">
        <f>B812+1</f>
        <v>1</v>
      </c>
      <c r="C813" s="17" t="s">
        <v>206</v>
      </c>
      <c r="D813" s="39" t="s">
        <v>28</v>
      </c>
      <c r="E813" s="204"/>
      <c r="F813" s="204"/>
      <c r="G813" s="193"/>
      <c r="H813" s="89"/>
      <c r="I813" s="193"/>
      <c r="J813" s="15">
        <v>23761000</v>
      </c>
      <c r="K813" s="99">
        <v>31438000</v>
      </c>
      <c r="L813" s="13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53">
        <f t="shared" ref="Y813:Y818" si="282">AB813</f>
        <v>86.743749602392</v>
      </c>
      <c r="Z813" s="53">
        <f t="shared" ref="Z813:Z818" si="283">AD813</f>
        <v>86.743749602392</v>
      </c>
      <c r="AA813" s="22">
        <v>27270500</v>
      </c>
      <c r="AB813" s="19">
        <f>AA813/K813*100</f>
        <v>86.743749602392</v>
      </c>
      <c r="AC813" s="22">
        <f t="shared" ref="AC813:AC820" si="284">AA813</f>
        <v>27270500</v>
      </c>
      <c r="AD813" s="19">
        <f>AC813/K813*100</f>
        <v>86.743749602392</v>
      </c>
    </row>
    <row r="814" spans="2:31">
      <c r="B814" s="13">
        <f>B813+1</f>
        <v>2</v>
      </c>
      <c r="C814" s="17" t="s">
        <v>207</v>
      </c>
      <c r="D814" s="39" t="s">
        <v>30</v>
      </c>
      <c r="E814" s="204"/>
      <c r="F814" s="204"/>
      <c r="G814" s="193"/>
      <c r="H814" s="89"/>
      <c r="I814" s="193"/>
      <c r="J814" s="15">
        <v>4500000</v>
      </c>
      <c r="K814" s="99">
        <v>5100000</v>
      </c>
      <c r="L814" s="13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53">
        <f t="shared" si="282"/>
        <v>77.941176470588232</v>
      </c>
      <c r="Z814" s="53">
        <f t="shared" si="283"/>
        <v>77.941176470588232</v>
      </c>
      <c r="AA814" s="22">
        <v>3975000</v>
      </c>
      <c r="AB814" s="19">
        <f t="shared" ref="AB814:AB820" si="285">AA814/K814*100</f>
        <v>77.941176470588232</v>
      </c>
      <c r="AC814" s="22">
        <f t="shared" si="284"/>
        <v>3975000</v>
      </c>
      <c r="AD814" s="19">
        <f t="shared" ref="AD814:AD820" si="286">AC814/K814*100</f>
        <v>77.941176470588232</v>
      </c>
    </row>
    <row r="815" spans="2:31">
      <c r="B815" s="13">
        <f>B814+1</f>
        <v>3</v>
      </c>
      <c r="C815" s="17" t="s">
        <v>208</v>
      </c>
      <c r="D815" s="39" t="s">
        <v>32</v>
      </c>
      <c r="E815" s="204"/>
      <c r="F815" s="204"/>
      <c r="G815" s="193"/>
      <c r="H815" s="89"/>
      <c r="I815" s="193"/>
      <c r="J815" s="15">
        <v>14136000</v>
      </c>
      <c r="K815" s="99">
        <v>14876000</v>
      </c>
      <c r="L815" s="13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53">
        <f t="shared" si="282"/>
        <v>84.106211347136323</v>
      </c>
      <c r="Z815" s="53">
        <f t="shared" si="283"/>
        <v>84.106211347136323</v>
      </c>
      <c r="AA815" s="22">
        <v>12511640</v>
      </c>
      <c r="AB815" s="19">
        <f t="shared" si="285"/>
        <v>84.106211347136323</v>
      </c>
      <c r="AC815" s="22">
        <f t="shared" si="284"/>
        <v>12511640</v>
      </c>
      <c r="AD815" s="19">
        <f t="shared" si="286"/>
        <v>84.106211347136323</v>
      </c>
    </row>
    <row r="816" spans="2:31">
      <c r="B816" s="157">
        <v>4</v>
      </c>
      <c r="C816" s="17" t="s">
        <v>209</v>
      </c>
      <c r="D816" s="39" t="s">
        <v>34</v>
      </c>
      <c r="E816" s="204"/>
      <c r="F816" s="204"/>
      <c r="G816" s="193"/>
      <c r="H816" s="89"/>
      <c r="I816" s="193"/>
      <c r="J816" s="15">
        <v>15891000</v>
      </c>
      <c r="K816" s="99">
        <v>21110000</v>
      </c>
      <c r="L816" s="13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53">
        <f t="shared" si="282"/>
        <v>90.435120795831352</v>
      </c>
      <c r="Z816" s="53">
        <f t="shared" si="283"/>
        <v>90.435120795831352</v>
      </c>
      <c r="AA816" s="22">
        <v>19090854</v>
      </c>
      <c r="AB816" s="19">
        <f t="shared" si="285"/>
        <v>90.435120795831352</v>
      </c>
      <c r="AC816" s="22">
        <f t="shared" si="284"/>
        <v>19090854</v>
      </c>
      <c r="AD816" s="19">
        <f t="shared" si="286"/>
        <v>90.435120795831352</v>
      </c>
    </row>
    <row r="817" spans="2:30" ht="27">
      <c r="B817" s="13">
        <v>5</v>
      </c>
      <c r="C817" s="17" t="s">
        <v>1777</v>
      </c>
      <c r="D817" s="39" t="s">
        <v>1768</v>
      </c>
      <c r="E817" s="204"/>
      <c r="F817" s="204"/>
      <c r="G817" s="193"/>
      <c r="H817" s="89"/>
      <c r="I817" s="193"/>
      <c r="J817" s="15">
        <v>77812000</v>
      </c>
      <c r="K817" s="99">
        <v>89147000</v>
      </c>
      <c r="L817" s="13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53">
        <f t="shared" si="282"/>
        <v>93.28292483201902</v>
      </c>
      <c r="Z817" s="53">
        <f t="shared" si="283"/>
        <v>93.28292483201902</v>
      </c>
      <c r="AA817" s="22">
        <v>83158929</v>
      </c>
      <c r="AB817" s="19">
        <f t="shared" si="285"/>
        <v>93.28292483201902</v>
      </c>
      <c r="AC817" s="22">
        <f t="shared" si="284"/>
        <v>83158929</v>
      </c>
      <c r="AD817" s="19">
        <f t="shared" si="286"/>
        <v>93.28292483201902</v>
      </c>
    </row>
    <row r="818" spans="2:30">
      <c r="B818" s="13">
        <v>6</v>
      </c>
      <c r="C818" s="17" t="s">
        <v>1778</v>
      </c>
      <c r="D818" s="39" t="s">
        <v>252</v>
      </c>
      <c r="E818" s="204"/>
      <c r="F818" s="204"/>
      <c r="G818" s="193"/>
      <c r="H818" s="89"/>
      <c r="I818" s="193"/>
      <c r="J818" s="15">
        <v>11950000</v>
      </c>
      <c r="K818" s="99">
        <v>11950000</v>
      </c>
      <c r="L818" s="13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53">
        <f t="shared" si="282"/>
        <v>15.382845188284518</v>
      </c>
      <c r="Z818" s="53">
        <f t="shared" si="283"/>
        <v>15.382845188284518</v>
      </c>
      <c r="AA818" s="22">
        <v>1838250</v>
      </c>
      <c r="AB818" s="19">
        <f t="shared" si="285"/>
        <v>15.382845188284518</v>
      </c>
      <c r="AC818" s="22">
        <f t="shared" si="284"/>
        <v>1838250</v>
      </c>
      <c r="AD818" s="19">
        <f t="shared" si="286"/>
        <v>15.382845188284518</v>
      </c>
    </row>
    <row r="819" spans="2:30">
      <c r="B819" s="13">
        <v>7</v>
      </c>
      <c r="C819" s="58" t="s">
        <v>354</v>
      </c>
      <c r="D819" s="389" t="s">
        <v>1772</v>
      </c>
      <c r="E819" s="204"/>
      <c r="F819" s="204"/>
      <c r="G819" s="193"/>
      <c r="H819" s="89"/>
      <c r="I819" s="193"/>
      <c r="J819" s="15">
        <v>491341000</v>
      </c>
      <c r="K819" s="99">
        <v>566799000</v>
      </c>
      <c r="L819" s="13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53">
        <f t="shared" ref="Y819:Y820" si="287">AB819</f>
        <v>90.98193027863492</v>
      </c>
      <c r="Z819" s="53">
        <f t="shared" ref="Z819:Z820" si="288">AD819</f>
        <v>90.98193027863492</v>
      </c>
      <c r="AA819" s="22">
        <v>515684671</v>
      </c>
      <c r="AB819" s="19">
        <f t="shared" si="285"/>
        <v>90.98193027863492</v>
      </c>
      <c r="AC819" s="22">
        <f t="shared" si="284"/>
        <v>515684671</v>
      </c>
      <c r="AD819" s="19">
        <f t="shared" si="286"/>
        <v>90.98193027863492</v>
      </c>
    </row>
    <row r="820" spans="2:30" ht="25.5">
      <c r="B820" s="32">
        <v>8</v>
      </c>
      <c r="C820" s="60" t="s">
        <v>355</v>
      </c>
      <c r="D820" s="390" t="s">
        <v>1773</v>
      </c>
      <c r="E820" s="507"/>
      <c r="F820" s="489"/>
      <c r="G820" s="240"/>
      <c r="H820" s="186"/>
      <c r="I820" s="240"/>
      <c r="J820" s="15">
        <v>12659000</v>
      </c>
      <c r="K820" s="99">
        <v>5179000</v>
      </c>
      <c r="L820" s="32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53">
        <f t="shared" si="287"/>
        <v>50.337903070090753</v>
      </c>
      <c r="Z820" s="53">
        <f t="shared" si="288"/>
        <v>50.337903070090753</v>
      </c>
      <c r="AA820" s="325">
        <v>2607000</v>
      </c>
      <c r="AB820" s="19">
        <f t="shared" si="285"/>
        <v>50.337903070090753</v>
      </c>
      <c r="AC820" s="325">
        <f t="shared" si="284"/>
        <v>2607000</v>
      </c>
      <c r="AD820" s="19">
        <f t="shared" si="286"/>
        <v>50.337903070090753</v>
      </c>
    </row>
    <row r="821" spans="2:30">
      <c r="B821" s="37">
        <v>97</v>
      </c>
      <c r="C821" s="855" t="s">
        <v>1779</v>
      </c>
      <c r="D821" s="855"/>
      <c r="E821" s="483"/>
      <c r="F821" s="483">
        <v>8</v>
      </c>
      <c r="G821" s="468"/>
      <c r="H821" s="526"/>
      <c r="I821" s="468"/>
      <c r="J821" s="35">
        <f>SUM(J813:J820)</f>
        <v>652050000</v>
      </c>
      <c r="K821" s="35">
        <f>SUM(K813:K820)</f>
        <v>745599000</v>
      </c>
      <c r="L821" s="37"/>
      <c r="M821" s="38"/>
      <c r="N821" s="38"/>
      <c r="O821" s="38"/>
      <c r="P821" s="391"/>
      <c r="Q821" s="38"/>
      <c r="R821" s="38"/>
      <c r="S821" s="38"/>
      <c r="T821" s="38"/>
      <c r="U821" s="38"/>
      <c r="V821" s="38"/>
      <c r="W821" s="38"/>
      <c r="X821" s="38"/>
      <c r="Y821" s="82">
        <f>SUM(Y813:Y820)/8</f>
        <v>73.651482698122152</v>
      </c>
      <c r="Z821" s="82">
        <f>SUM(Z813:Z820)/8</f>
        <v>73.651482698122152</v>
      </c>
      <c r="AA821" s="35">
        <f>SUM(AA813:AA820)</f>
        <v>666136844</v>
      </c>
      <c r="AB821" s="82">
        <f>SUM(AB813:AB820)/8</f>
        <v>73.651482698122152</v>
      </c>
      <c r="AC821" s="35">
        <f>SUM(AC813:AC820)</f>
        <v>666136844</v>
      </c>
      <c r="AD821" s="82">
        <f>SUM(AD813:AD820)/8</f>
        <v>73.651482698122152</v>
      </c>
    </row>
    <row r="822" spans="2:30">
      <c r="B822" s="66"/>
      <c r="C822" s="63" t="s">
        <v>1780</v>
      </c>
      <c r="D822" s="118" t="s">
        <v>1781</v>
      </c>
      <c r="E822" s="484"/>
      <c r="F822" s="484"/>
      <c r="G822" s="472"/>
      <c r="H822" s="242"/>
      <c r="I822" s="472"/>
      <c r="J822" s="65"/>
      <c r="K822" s="65"/>
      <c r="L822" s="66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2:30">
      <c r="B823" s="13">
        <f t="shared" ref="B823:B830" si="289">B822+1</f>
        <v>1</v>
      </c>
      <c r="C823" s="17" t="s">
        <v>206</v>
      </c>
      <c r="D823" s="39" t="s">
        <v>28</v>
      </c>
      <c r="E823" s="204"/>
      <c r="F823" s="204"/>
      <c r="G823" s="193"/>
      <c r="H823" s="89"/>
      <c r="I823" s="193"/>
      <c r="J823" s="15">
        <v>48387000</v>
      </c>
      <c r="K823" s="99">
        <v>51643000</v>
      </c>
      <c r="L823" s="57"/>
      <c r="M823" s="22"/>
      <c r="N823" s="17"/>
      <c r="O823" s="158"/>
      <c r="P823" s="18"/>
      <c r="Q823" s="18"/>
      <c r="R823" s="18"/>
      <c r="S823" s="18"/>
      <c r="T823" s="18"/>
      <c r="U823" s="18"/>
      <c r="V823" s="18"/>
      <c r="W823" s="18"/>
      <c r="X823" s="18"/>
      <c r="Y823" s="20">
        <v>100</v>
      </c>
      <c r="Z823" s="98">
        <f>AB823</f>
        <v>92.73540460468989</v>
      </c>
      <c r="AA823" s="99">
        <v>47891345</v>
      </c>
      <c r="AB823" s="98">
        <f>AA823/K823*100</f>
        <v>92.73540460468989</v>
      </c>
      <c r="AC823" s="99">
        <f t="shared" ref="AC823:AC830" si="290">AA823</f>
        <v>47891345</v>
      </c>
      <c r="AD823" s="98">
        <f>AC823/K823*100</f>
        <v>92.73540460468989</v>
      </c>
    </row>
    <row r="824" spans="2:30">
      <c r="B824" s="13">
        <f t="shared" si="289"/>
        <v>2</v>
      </c>
      <c r="C824" s="17" t="s">
        <v>207</v>
      </c>
      <c r="D824" s="39" t="s">
        <v>30</v>
      </c>
      <c r="E824" s="204"/>
      <c r="F824" s="204"/>
      <c r="G824" s="193"/>
      <c r="H824" s="89"/>
      <c r="I824" s="193"/>
      <c r="J824" s="15">
        <v>15000000</v>
      </c>
      <c r="K824" s="99">
        <v>17200000</v>
      </c>
      <c r="L824" s="57"/>
      <c r="M824" s="17"/>
      <c r="N824" s="17"/>
      <c r="O824" s="158"/>
      <c r="P824" s="18"/>
      <c r="Q824" s="18"/>
      <c r="R824" s="18"/>
      <c r="S824" s="18"/>
      <c r="T824" s="18"/>
      <c r="U824" s="18"/>
      <c r="V824" s="18"/>
      <c r="W824" s="18"/>
      <c r="X824" s="18"/>
      <c r="Y824" s="20">
        <v>100</v>
      </c>
      <c r="Z824" s="98">
        <f t="shared" ref="Z824:Z830" si="291">AD824</f>
        <v>63.279069767441868</v>
      </c>
      <c r="AA824" s="99">
        <v>10884000</v>
      </c>
      <c r="AB824" s="98">
        <f t="shared" ref="AB824:AB830" si="292">AA824/K824*100</f>
        <v>63.279069767441868</v>
      </c>
      <c r="AC824" s="99">
        <f t="shared" si="290"/>
        <v>10884000</v>
      </c>
      <c r="AD824" s="98">
        <f t="shared" ref="AD824:AD830" si="293">AC824/K824*100</f>
        <v>63.279069767441868</v>
      </c>
    </row>
    <row r="825" spans="2:30">
      <c r="B825" s="13">
        <f t="shared" si="289"/>
        <v>3</v>
      </c>
      <c r="C825" s="17" t="s">
        <v>208</v>
      </c>
      <c r="D825" s="39" t="s">
        <v>32</v>
      </c>
      <c r="E825" s="204"/>
      <c r="F825" s="204"/>
      <c r="G825" s="193"/>
      <c r="H825" s="89"/>
      <c r="I825" s="193"/>
      <c r="J825" s="15">
        <v>19907000</v>
      </c>
      <c r="K825" s="99">
        <v>13908000</v>
      </c>
      <c r="L825" s="57"/>
      <c r="M825" s="17"/>
      <c r="N825" s="17"/>
      <c r="O825" s="158"/>
      <c r="P825" s="18"/>
      <c r="Q825" s="18"/>
      <c r="R825" s="18"/>
      <c r="S825" s="18"/>
      <c r="T825" s="18"/>
      <c r="U825" s="18"/>
      <c r="V825" s="18"/>
      <c r="W825" s="18"/>
      <c r="X825" s="18"/>
      <c r="Y825" s="20">
        <v>100</v>
      </c>
      <c r="Z825" s="98">
        <f t="shared" si="291"/>
        <v>75.287604256542991</v>
      </c>
      <c r="AA825" s="99">
        <v>10471000</v>
      </c>
      <c r="AB825" s="98">
        <f t="shared" si="292"/>
        <v>75.287604256542991</v>
      </c>
      <c r="AC825" s="99">
        <f t="shared" si="290"/>
        <v>10471000</v>
      </c>
      <c r="AD825" s="98">
        <f t="shared" si="293"/>
        <v>75.287604256542991</v>
      </c>
    </row>
    <row r="826" spans="2:30">
      <c r="B826" s="13">
        <f t="shared" si="289"/>
        <v>4</v>
      </c>
      <c r="C826" s="17" t="s">
        <v>209</v>
      </c>
      <c r="D826" s="39" t="s">
        <v>34</v>
      </c>
      <c r="E826" s="204"/>
      <c r="F826" s="204"/>
      <c r="G826" s="193"/>
      <c r="H826" s="89"/>
      <c r="I826" s="193"/>
      <c r="J826" s="15">
        <v>30800000</v>
      </c>
      <c r="K826" s="99">
        <v>38425000</v>
      </c>
      <c r="L826" s="57"/>
      <c r="M826" s="17"/>
      <c r="N826" s="17"/>
      <c r="O826" s="158"/>
      <c r="P826" s="18"/>
      <c r="Q826" s="18"/>
      <c r="R826" s="18"/>
      <c r="S826" s="18"/>
      <c r="T826" s="18"/>
      <c r="U826" s="18"/>
      <c r="V826" s="18"/>
      <c r="W826" s="18"/>
      <c r="X826" s="18"/>
      <c r="Y826" s="20">
        <v>100</v>
      </c>
      <c r="Z826" s="98">
        <f t="shared" si="291"/>
        <v>100</v>
      </c>
      <c r="AA826" s="99">
        <v>38425000</v>
      </c>
      <c r="AB826" s="98">
        <f t="shared" si="292"/>
        <v>100</v>
      </c>
      <c r="AC826" s="99">
        <f t="shared" si="290"/>
        <v>38425000</v>
      </c>
      <c r="AD826" s="98">
        <f t="shared" si="293"/>
        <v>100</v>
      </c>
    </row>
    <row r="827" spans="2:30" ht="27">
      <c r="B827" s="13">
        <f t="shared" si="289"/>
        <v>5</v>
      </c>
      <c r="C827" s="17" t="s">
        <v>1777</v>
      </c>
      <c r="D827" s="39" t="s">
        <v>1768</v>
      </c>
      <c r="E827" s="204"/>
      <c r="F827" s="204"/>
      <c r="G827" s="193"/>
      <c r="H827" s="89"/>
      <c r="I827" s="193"/>
      <c r="J827" s="15">
        <v>124894000</v>
      </c>
      <c r="K827" s="99">
        <v>134137000</v>
      </c>
      <c r="L827" s="57"/>
      <c r="M827" s="17"/>
      <c r="N827" s="17"/>
      <c r="O827" s="158"/>
      <c r="P827" s="18"/>
      <c r="Q827" s="18"/>
      <c r="R827" s="18"/>
      <c r="S827" s="18"/>
      <c r="T827" s="18"/>
      <c r="U827" s="18"/>
      <c r="V827" s="18"/>
      <c r="W827" s="18"/>
      <c r="X827" s="18"/>
      <c r="Y827" s="20">
        <v>100</v>
      </c>
      <c r="Z827" s="98">
        <f t="shared" si="291"/>
        <v>84.297764226127015</v>
      </c>
      <c r="AA827" s="99">
        <v>113074492</v>
      </c>
      <c r="AB827" s="98">
        <f t="shared" si="292"/>
        <v>84.297764226127015</v>
      </c>
      <c r="AC827" s="99">
        <f t="shared" si="290"/>
        <v>113074492</v>
      </c>
      <c r="AD827" s="98">
        <f t="shared" si="293"/>
        <v>84.297764226127015</v>
      </c>
    </row>
    <row r="828" spans="2:30">
      <c r="B828" s="13">
        <f t="shared" si="289"/>
        <v>6</v>
      </c>
      <c r="C828" s="17" t="s">
        <v>1778</v>
      </c>
      <c r="D828" s="39" t="s">
        <v>252</v>
      </c>
      <c r="E828" s="204"/>
      <c r="F828" s="204"/>
      <c r="G828" s="193"/>
      <c r="H828" s="89"/>
      <c r="I828" s="193"/>
      <c r="J828" s="15">
        <v>30474000</v>
      </c>
      <c r="K828" s="99">
        <v>30474000</v>
      </c>
      <c r="L828" s="95"/>
      <c r="M828" s="44"/>
      <c r="N828" s="44"/>
      <c r="O828" s="392"/>
      <c r="P828" s="108"/>
      <c r="Q828" s="108"/>
      <c r="R828" s="108"/>
      <c r="S828" s="108"/>
      <c r="T828" s="108"/>
      <c r="U828" s="108"/>
      <c r="V828" s="108"/>
      <c r="W828" s="108"/>
      <c r="X828" s="108"/>
      <c r="Y828" s="20">
        <v>100</v>
      </c>
      <c r="Z828" s="101">
        <f t="shared" si="291"/>
        <v>15.360963444247556</v>
      </c>
      <c r="AA828" s="102">
        <v>4681100</v>
      </c>
      <c r="AB828" s="98">
        <f t="shared" si="292"/>
        <v>15.360963444247556</v>
      </c>
      <c r="AC828" s="102">
        <f t="shared" si="290"/>
        <v>4681100</v>
      </c>
      <c r="AD828" s="98">
        <f t="shared" si="293"/>
        <v>15.360963444247556</v>
      </c>
    </row>
    <row r="829" spans="2:30">
      <c r="B829" s="13">
        <f t="shared" si="289"/>
        <v>7</v>
      </c>
      <c r="C829" s="58" t="s">
        <v>354</v>
      </c>
      <c r="D829" s="389" t="s">
        <v>1772</v>
      </c>
      <c r="E829" s="204"/>
      <c r="F829" s="204"/>
      <c r="G829" s="193"/>
      <c r="H829" s="89"/>
      <c r="I829" s="193"/>
      <c r="J829" s="15">
        <v>2577423000</v>
      </c>
      <c r="K829" s="99">
        <v>2879719000</v>
      </c>
      <c r="L829" s="57"/>
      <c r="M829" s="17"/>
      <c r="N829" s="17"/>
      <c r="O829" s="158"/>
      <c r="P829" s="18"/>
      <c r="Q829" s="18"/>
      <c r="R829" s="18"/>
      <c r="S829" s="18"/>
      <c r="T829" s="18"/>
      <c r="U829" s="18"/>
      <c r="V829" s="18"/>
      <c r="W829" s="18"/>
      <c r="X829" s="18"/>
      <c r="Y829" s="20">
        <v>100</v>
      </c>
      <c r="Z829" s="101">
        <f t="shared" si="291"/>
        <v>91.712836842761391</v>
      </c>
      <c r="AA829" s="99">
        <v>2641071988</v>
      </c>
      <c r="AB829" s="98">
        <f t="shared" si="292"/>
        <v>91.712836842761391</v>
      </c>
      <c r="AC829" s="99">
        <f t="shared" si="290"/>
        <v>2641071988</v>
      </c>
      <c r="AD829" s="98">
        <f t="shared" si="293"/>
        <v>91.712836842761391</v>
      </c>
    </row>
    <row r="830" spans="2:30" ht="25.5">
      <c r="B830" s="32">
        <f t="shared" si="289"/>
        <v>8</v>
      </c>
      <c r="C830" s="60" t="s">
        <v>355</v>
      </c>
      <c r="D830" s="390" t="s">
        <v>1773</v>
      </c>
      <c r="E830" s="507"/>
      <c r="F830" s="489"/>
      <c r="G830" s="240"/>
      <c r="H830" s="186"/>
      <c r="I830" s="240"/>
      <c r="J830" s="15">
        <v>231945000</v>
      </c>
      <c r="K830" s="99">
        <v>200640000</v>
      </c>
      <c r="L830" s="350"/>
      <c r="M830" s="33"/>
      <c r="N830" s="33"/>
      <c r="O830" s="393"/>
      <c r="P830" s="394"/>
      <c r="Q830" s="394"/>
      <c r="R830" s="394"/>
      <c r="S830" s="394"/>
      <c r="T830" s="394"/>
      <c r="U830" s="394"/>
      <c r="V830" s="394"/>
      <c r="W830" s="394"/>
      <c r="X830" s="394"/>
      <c r="Y830" s="20">
        <v>100</v>
      </c>
      <c r="Z830" s="101">
        <f t="shared" si="291"/>
        <v>33.979868421052636</v>
      </c>
      <c r="AA830" s="352">
        <v>68177208</v>
      </c>
      <c r="AB830" s="98">
        <f t="shared" si="292"/>
        <v>33.979868421052636</v>
      </c>
      <c r="AC830" s="352">
        <f t="shared" si="290"/>
        <v>68177208</v>
      </c>
      <c r="AD830" s="98">
        <f t="shared" si="293"/>
        <v>33.979868421052636</v>
      </c>
    </row>
    <row r="831" spans="2:30">
      <c r="B831" s="37">
        <v>98</v>
      </c>
      <c r="C831" s="855" t="s">
        <v>1782</v>
      </c>
      <c r="D831" s="855"/>
      <c r="E831" s="483"/>
      <c r="F831" s="483">
        <v>8</v>
      </c>
      <c r="G831" s="468"/>
      <c r="H831" s="526"/>
      <c r="I831" s="468"/>
      <c r="J831" s="35">
        <f>SUM(J823:J830)</f>
        <v>3078830000</v>
      </c>
      <c r="K831" s="35">
        <f>SUM(K823:K830)</f>
        <v>3366146000</v>
      </c>
      <c r="L831" s="37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82">
        <f>SUM(Y823:Y830)/8</f>
        <v>100</v>
      </c>
      <c r="Z831" s="82">
        <f>SUM(Z823:Z830)/8</f>
        <v>69.581688945357911</v>
      </c>
      <c r="AA831" s="35">
        <f>SUM(AA823:AA830)</f>
        <v>2934676133</v>
      </c>
      <c r="AB831" s="82">
        <f>SUM(AB823:AB830)/8</f>
        <v>69.581688945357911</v>
      </c>
      <c r="AC831" s="35">
        <f>SUM(AC823:AC830)</f>
        <v>2934676133</v>
      </c>
      <c r="AD831" s="82">
        <f>SUM(AD823:AD830)/8</f>
        <v>69.581688945357911</v>
      </c>
    </row>
    <row r="832" spans="2:30">
      <c r="B832" s="66"/>
      <c r="C832" s="63" t="s">
        <v>1783</v>
      </c>
      <c r="D832" s="118" t="s">
        <v>1784</v>
      </c>
      <c r="E832" s="484"/>
      <c r="F832" s="484"/>
      <c r="G832" s="472"/>
      <c r="H832" s="242"/>
      <c r="I832" s="472"/>
      <c r="J832" s="65"/>
      <c r="K832" s="65"/>
      <c r="L832" s="66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2:30">
      <c r="B833" s="13">
        <f t="shared" ref="B833:B840" si="294">B832+1</f>
        <v>1</v>
      </c>
      <c r="C833" s="17" t="s">
        <v>206</v>
      </c>
      <c r="D833" s="39" t="s">
        <v>28</v>
      </c>
      <c r="E833" s="204"/>
      <c r="F833" s="204"/>
      <c r="G833" s="193"/>
      <c r="H833" s="89"/>
      <c r="I833" s="193"/>
      <c r="J833" s="15">
        <v>65073000</v>
      </c>
      <c r="K833" s="99">
        <v>76951000</v>
      </c>
      <c r="L833" s="13"/>
      <c r="M833" s="396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53">
        <v>100</v>
      </c>
      <c r="Z833" s="53">
        <v>100</v>
      </c>
      <c r="AA833" s="22">
        <v>74232181</v>
      </c>
      <c r="AB833" s="19">
        <f>AA833/K833*100</f>
        <v>96.466817845122222</v>
      </c>
      <c r="AC833" s="22">
        <f t="shared" ref="AC833:AC840" si="295">AA833</f>
        <v>74232181</v>
      </c>
      <c r="AD833" s="19">
        <f>AC833/K833*100</f>
        <v>96.466817845122222</v>
      </c>
    </row>
    <row r="834" spans="2:30">
      <c r="B834" s="13">
        <f t="shared" si="294"/>
        <v>2</v>
      </c>
      <c r="C834" s="17" t="s">
        <v>207</v>
      </c>
      <c r="D834" s="39" t="s">
        <v>30</v>
      </c>
      <c r="E834" s="204"/>
      <c r="F834" s="204"/>
      <c r="G834" s="193"/>
      <c r="H834" s="89"/>
      <c r="I834" s="193"/>
      <c r="J834" s="15">
        <v>13340000</v>
      </c>
      <c r="K834" s="99">
        <v>15260000</v>
      </c>
      <c r="L834" s="13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53">
        <v>100</v>
      </c>
      <c r="Z834" s="53">
        <v>100</v>
      </c>
      <c r="AA834" s="22">
        <v>13041000</v>
      </c>
      <c r="AB834" s="19">
        <f t="shared" ref="AB834:AB840" si="296">AA834/K834*100</f>
        <v>85.458715596330265</v>
      </c>
      <c r="AC834" s="22">
        <f t="shared" si="295"/>
        <v>13041000</v>
      </c>
      <c r="AD834" s="19">
        <f t="shared" ref="AD834:AD840" si="297">AC834/K834*100</f>
        <v>85.458715596330265</v>
      </c>
    </row>
    <row r="835" spans="2:30">
      <c r="B835" s="13">
        <f t="shared" si="294"/>
        <v>3</v>
      </c>
      <c r="C835" s="17" t="s">
        <v>208</v>
      </c>
      <c r="D835" s="39" t="s">
        <v>32</v>
      </c>
      <c r="E835" s="204"/>
      <c r="F835" s="204"/>
      <c r="G835" s="193"/>
      <c r="H835" s="89"/>
      <c r="I835" s="193"/>
      <c r="J835" s="15">
        <v>55810000</v>
      </c>
      <c r="K835" s="99">
        <v>73898000</v>
      </c>
      <c r="L835" s="13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53">
        <v>100</v>
      </c>
      <c r="Z835" s="53">
        <v>100</v>
      </c>
      <c r="AA835" s="22">
        <v>70009397</v>
      </c>
      <c r="AB835" s="19">
        <f t="shared" si="296"/>
        <v>94.737877885734392</v>
      </c>
      <c r="AC835" s="22">
        <f t="shared" si="295"/>
        <v>70009397</v>
      </c>
      <c r="AD835" s="19">
        <f t="shared" si="297"/>
        <v>94.737877885734392</v>
      </c>
    </row>
    <row r="836" spans="2:30">
      <c r="B836" s="13">
        <f t="shared" si="294"/>
        <v>4</v>
      </c>
      <c r="C836" s="17" t="s">
        <v>209</v>
      </c>
      <c r="D836" s="39" t="s">
        <v>34</v>
      </c>
      <c r="E836" s="204"/>
      <c r="F836" s="204"/>
      <c r="G836" s="193"/>
      <c r="H836" s="89"/>
      <c r="I836" s="193"/>
      <c r="J836" s="15">
        <v>34500000</v>
      </c>
      <c r="K836" s="99">
        <v>95105000</v>
      </c>
      <c r="L836" s="13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53">
        <f t="shared" ref="Y836" si="298">AB836</f>
        <v>100</v>
      </c>
      <c r="Z836" s="53">
        <f t="shared" ref="Z836" si="299">AD836</f>
        <v>100</v>
      </c>
      <c r="AA836" s="22">
        <v>95105000</v>
      </c>
      <c r="AB836" s="19">
        <f t="shared" si="296"/>
        <v>100</v>
      </c>
      <c r="AC836" s="22">
        <f t="shared" si="295"/>
        <v>95105000</v>
      </c>
      <c r="AD836" s="19">
        <f t="shared" si="297"/>
        <v>100</v>
      </c>
    </row>
    <row r="837" spans="2:30" ht="27">
      <c r="B837" s="13">
        <f t="shared" si="294"/>
        <v>5</v>
      </c>
      <c r="C837" s="17" t="s">
        <v>1777</v>
      </c>
      <c r="D837" s="39" t="s">
        <v>1768</v>
      </c>
      <c r="E837" s="204"/>
      <c r="F837" s="204"/>
      <c r="G837" s="193"/>
      <c r="H837" s="89"/>
      <c r="I837" s="193"/>
      <c r="J837" s="15">
        <v>247193000</v>
      </c>
      <c r="K837" s="99">
        <v>279212000</v>
      </c>
      <c r="L837" s="13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53">
        <v>100</v>
      </c>
      <c r="Z837" s="53">
        <v>100</v>
      </c>
      <c r="AA837" s="22">
        <v>277721437</v>
      </c>
      <c r="AB837" s="19">
        <f t="shared" si="296"/>
        <v>99.466153675343477</v>
      </c>
      <c r="AC837" s="22">
        <f t="shared" si="295"/>
        <v>277721437</v>
      </c>
      <c r="AD837" s="19">
        <f t="shared" si="297"/>
        <v>99.466153675343477</v>
      </c>
    </row>
    <row r="838" spans="2:30">
      <c r="B838" s="45">
        <f t="shared" si="294"/>
        <v>6</v>
      </c>
      <c r="C838" s="44" t="s">
        <v>1778</v>
      </c>
      <c r="D838" s="78" t="s">
        <v>252</v>
      </c>
      <c r="E838" s="489"/>
      <c r="F838" s="489"/>
      <c r="G838" s="240"/>
      <c r="H838" s="186"/>
      <c r="I838" s="240"/>
      <c r="J838" s="15">
        <v>35028000</v>
      </c>
      <c r="K838" s="99">
        <v>35028000</v>
      </c>
      <c r="L838" s="45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55">
        <v>100</v>
      </c>
      <c r="Z838" s="55">
        <v>100</v>
      </c>
      <c r="AA838" s="73">
        <v>22688653</v>
      </c>
      <c r="AB838" s="19">
        <f t="shared" si="296"/>
        <v>64.772904533516041</v>
      </c>
      <c r="AC838" s="73">
        <f t="shared" si="295"/>
        <v>22688653</v>
      </c>
      <c r="AD838" s="19">
        <f t="shared" si="297"/>
        <v>64.772904533516041</v>
      </c>
    </row>
    <row r="839" spans="2:30">
      <c r="B839" s="45">
        <f t="shared" si="294"/>
        <v>7</v>
      </c>
      <c r="C839" s="356" t="s">
        <v>354</v>
      </c>
      <c r="D839" s="58" t="s">
        <v>1772</v>
      </c>
      <c r="E839" s="204"/>
      <c r="F839" s="204"/>
      <c r="G839" s="193"/>
      <c r="H839" s="89"/>
      <c r="I839" s="193"/>
      <c r="J839" s="15">
        <v>2100781000</v>
      </c>
      <c r="K839" s="99">
        <v>2354366000</v>
      </c>
      <c r="L839" s="13"/>
      <c r="M839" s="17"/>
      <c r="N839" s="17"/>
      <c r="O839" s="17"/>
      <c r="P839" s="17"/>
      <c r="Q839" s="17"/>
      <c r="R839" s="44"/>
      <c r="S839" s="44"/>
      <c r="T839" s="44"/>
      <c r="U839" s="44"/>
      <c r="V839" s="44"/>
      <c r="W839" s="44"/>
      <c r="X839" s="44"/>
      <c r="Y839" s="55">
        <v>100</v>
      </c>
      <c r="Z839" s="55">
        <v>100</v>
      </c>
      <c r="AA839" s="73">
        <v>2278465233</v>
      </c>
      <c r="AB839" s="19">
        <f t="shared" si="296"/>
        <v>96.776169593002962</v>
      </c>
      <c r="AC839" s="73">
        <f t="shared" si="295"/>
        <v>2278465233</v>
      </c>
      <c r="AD839" s="19">
        <f t="shared" si="297"/>
        <v>96.776169593002962</v>
      </c>
    </row>
    <row r="840" spans="2:30" ht="25.5">
      <c r="B840" s="45">
        <f t="shared" si="294"/>
        <v>8</v>
      </c>
      <c r="C840" s="316" t="s">
        <v>355</v>
      </c>
      <c r="D840" s="397" t="s">
        <v>1773</v>
      </c>
      <c r="E840" s="507"/>
      <c r="F840" s="489"/>
      <c r="G840" s="240"/>
      <c r="H840" s="186"/>
      <c r="I840" s="240"/>
      <c r="J840" s="15">
        <v>215219000</v>
      </c>
      <c r="K840" s="99">
        <v>205778000</v>
      </c>
      <c r="L840" s="32"/>
      <c r="M840" s="33"/>
      <c r="N840" s="33"/>
      <c r="O840" s="33"/>
      <c r="P840" s="33"/>
      <c r="Q840" s="33"/>
      <c r="R840" s="44"/>
      <c r="S840" s="44"/>
      <c r="T840" s="44"/>
      <c r="U840" s="44"/>
      <c r="V840" s="44"/>
      <c r="W840" s="44"/>
      <c r="X840" s="44"/>
      <c r="Y840" s="55">
        <v>100</v>
      </c>
      <c r="Z840" s="55">
        <v>100</v>
      </c>
      <c r="AA840" s="73">
        <v>67060600</v>
      </c>
      <c r="AB840" s="19">
        <f t="shared" si="296"/>
        <v>32.58880929934201</v>
      </c>
      <c r="AC840" s="73">
        <f t="shared" si="295"/>
        <v>67060600</v>
      </c>
      <c r="AD840" s="19">
        <f t="shared" si="297"/>
        <v>32.58880929934201</v>
      </c>
    </row>
    <row r="841" spans="2:30">
      <c r="B841" s="37">
        <v>99</v>
      </c>
      <c r="C841" s="855" t="s">
        <v>1785</v>
      </c>
      <c r="D841" s="855"/>
      <c r="E841" s="483"/>
      <c r="F841" s="483">
        <v>8</v>
      </c>
      <c r="G841" s="468"/>
      <c r="H841" s="526"/>
      <c r="I841" s="468"/>
      <c r="J841" s="35">
        <f>SUM(J833:J840)</f>
        <v>2766944000</v>
      </c>
      <c r="K841" s="35">
        <f>SUM(K833:K840)</f>
        <v>3135598000</v>
      </c>
      <c r="L841" s="37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5">
        <f>SUM(Y833:Y840)/8</f>
        <v>100</v>
      </c>
      <c r="Z841" s="35">
        <f>SUM(Z833:Z840)/8</f>
        <v>100</v>
      </c>
      <c r="AA841" s="35">
        <f>SUM(AA833:AA840)</f>
        <v>2898323501</v>
      </c>
      <c r="AB841" s="35">
        <f>SUM(AB833:AB840)/8</f>
        <v>83.78343105354891</v>
      </c>
      <c r="AC841" s="35">
        <f>SUM(AC833:AC840)</f>
        <v>2898323501</v>
      </c>
      <c r="AD841" s="35">
        <f>SUM(AD833:AD840)/8</f>
        <v>83.78343105354891</v>
      </c>
    </row>
    <row r="842" spans="2:30">
      <c r="B842" s="66"/>
      <c r="C842" s="63" t="s">
        <v>1786</v>
      </c>
      <c r="D842" s="118" t="s">
        <v>1787</v>
      </c>
      <c r="E842" s="484"/>
      <c r="F842" s="484"/>
      <c r="G842" s="472"/>
      <c r="H842" s="242"/>
      <c r="I842" s="472"/>
      <c r="J842" s="65"/>
      <c r="K842" s="65"/>
      <c r="L842" s="66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2:30">
      <c r="B843" s="13">
        <f t="shared" ref="B843:B850" si="300">B842+1</f>
        <v>1</v>
      </c>
      <c r="C843" s="17" t="s">
        <v>206</v>
      </c>
      <c r="D843" s="39" t="s">
        <v>28</v>
      </c>
      <c r="E843" s="204"/>
      <c r="F843" s="204"/>
      <c r="G843" s="193"/>
      <c r="H843" s="89"/>
      <c r="I843" s="193"/>
      <c r="J843" s="15">
        <v>80295000</v>
      </c>
      <c r="K843" s="99">
        <v>99094000</v>
      </c>
      <c r="L843" s="13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20">
        <v>100</v>
      </c>
      <c r="Z843" s="98">
        <v>89</v>
      </c>
      <c r="AA843" s="99">
        <v>87012409</v>
      </c>
      <c r="AB843" s="98">
        <f>AA843/K843*100</f>
        <v>87.807949018104026</v>
      </c>
      <c r="AC843" s="99">
        <f t="shared" ref="AC843:AC848" si="301">AA843</f>
        <v>87012409</v>
      </c>
      <c r="AD843" s="98">
        <f>AC843/K843*100</f>
        <v>87.807949018104026</v>
      </c>
    </row>
    <row r="844" spans="2:30">
      <c r="B844" s="13">
        <f t="shared" si="300"/>
        <v>2</v>
      </c>
      <c r="C844" s="17" t="s">
        <v>207</v>
      </c>
      <c r="D844" s="39" t="s">
        <v>30</v>
      </c>
      <c r="E844" s="204"/>
      <c r="F844" s="204"/>
      <c r="G844" s="193"/>
      <c r="H844" s="89"/>
      <c r="I844" s="193"/>
      <c r="J844" s="15">
        <v>11900000</v>
      </c>
      <c r="K844" s="99">
        <v>7980000</v>
      </c>
      <c r="L844" s="13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20">
        <v>100</v>
      </c>
      <c r="Z844" s="98">
        <v>73</v>
      </c>
      <c r="AA844" s="22">
        <v>6620000</v>
      </c>
      <c r="AB844" s="98">
        <f t="shared" ref="AB844:AB850" si="302">AA844/K844*100</f>
        <v>82.957393483709268</v>
      </c>
      <c r="AC844" s="99">
        <f t="shared" si="301"/>
        <v>6620000</v>
      </c>
      <c r="AD844" s="98">
        <f t="shared" ref="AD844:AD850" si="303">AC844/K844*100</f>
        <v>82.957393483709268</v>
      </c>
    </row>
    <row r="845" spans="2:30">
      <c r="B845" s="13">
        <f t="shared" si="300"/>
        <v>3</v>
      </c>
      <c r="C845" s="17" t="s">
        <v>208</v>
      </c>
      <c r="D845" s="39" t="s">
        <v>32</v>
      </c>
      <c r="E845" s="204"/>
      <c r="F845" s="204"/>
      <c r="G845" s="193"/>
      <c r="H845" s="89"/>
      <c r="I845" s="193"/>
      <c r="J845" s="15">
        <v>93670000</v>
      </c>
      <c r="K845" s="99">
        <v>78125000</v>
      </c>
      <c r="L845" s="13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20">
        <v>100</v>
      </c>
      <c r="Z845" s="98">
        <v>90</v>
      </c>
      <c r="AA845" s="22">
        <v>68358764</v>
      </c>
      <c r="AB845" s="98">
        <f t="shared" si="302"/>
        <v>87.499217920000007</v>
      </c>
      <c r="AC845" s="99">
        <f t="shared" si="301"/>
        <v>68358764</v>
      </c>
      <c r="AD845" s="98">
        <f t="shared" si="303"/>
        <v>87.499217920000007</v>
      </c>
    </row>
    <row r="846" spans="2:30">
      <c r="B846" s="13">
        <f t="shared" si="300"/>
        <v>4</v>
      </c>
      <c r="C846" s="17" t="s">
        <v>209</v>
      </c>
      <c r="D846" s="39" t="s">
        <v>34</v>
      </c>
      <c r="E846" s="204"/>
      <c r="F846" s="204"/>
      <c r="G846" s="193"/>
      <c r="H846" s="89"/>
      <c r="I846" s="193"/>
      <c r="J846" s="15">
        <v>146850000</v>
      </c>
      <c r="K846" s="99">
        <v>36830000</v>
      </c>
      <c r="L846" s="13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20">
        <v>100</v>
      </c>
      <c r="Z846" s="98">
        <v>96</v>
      </c>
      <c r="AA846" s="22">
        <v>34743000</v>
      </c>
      <c r="AB846" s="98">
        <f t="shared" si="302"/>
        <v>94.333423839261471</v>
      </c>
      <c r="AC846" s="99">
        <f t="shared" si="301"/>
        <v>34743000</v>
      </c>
      <c r="AD846" s="98">
        <f t="shared" si="303"/>
        <v>94.333423839261471</v>
      </c>
    </row>
    <row r="847" spans="2:30" ht="27">
      <c r="B847" s="13">
        <f t="shared" si="300"/>
        <v>5</v>
      </c>
      <c r="C847" s="17" t="s">
        <v>1777</v>
      </c>
      <c r="D847" s="39" t="s">
        <v>1768</v>
      </c>
      <c r="E847" s="204"/>
      <c r="F847" s="204"/>
      <c r="G847" s="193"/>
      <c r="H847" s="89"/>
      <c r="I847" s="193"/>
      <c r="J847" s="15">
        <v>393644000</v>
      </c>
      <c r="K847" s="99">
        <v>221582000</v>
      </c>
      <c r="L847" s="13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20">
        <v>100</v>
      </c>
      <c r="Z847" s="98">
        <v>87</v>
      </c>
      <c r="AA847" s="22">
        <v>123772816</v>
      </c>
      <c r="AB847" s="98">
        <f t="shared" si="302"/>
        <v>55.858696103474102</v>
      </c>
      <c r="AC847" s="99">
        <f t="shared" si="301"/>
        <v>123772816</v>
      </c>
      <c r="AD847" s="98">
        <f t="shared" si="303"/>
        <v>55.858696103474102</v>
      </c>
    </row>
    <row r="848" spans="2:30">
      <c r="B848" s="45">
        <f t="shared" si="300"/>
        <v>6</v>
      </c>
      <c r="C848" s="44" t="s">
        <v>1778</v>
      </c>
      <c r="D848" s="78" t="s">
        <v>252</v>
      </c>
      <c r="E848" s="489"/>
      <c r="F848" s="489"/>
      <c r="G848" s="240"/>
      <c r="H848" s="186"/>
      <c r="I848" s="240"/>
      <c r="J848" s="15">
        <v>101875000</v>
      </c>
      <c r="K848" s="99">
        <v>101875000</v>
      </c>
      <c r="L848" s="45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100">
        <v>100</v>
      </c>
      <c r="Z848" s="101">
        <v>90</v>
      </c>
      <c r="AA848" s="73">
        <v>88354009</v>
      </c>
      <c r="AB848" s="98">
        <f t="shared" si="302"/>
        <v>86.727861595092023</v>
      </c>
      <c r="AC848" s="102">
        <f t="shared" si="301"/>
        <v>88354009</v>
      </c>
      <c r="AD848" s="98">
        <f t="shared" si="303"/>
        <v>86.727861595092023</v>
      </c>
    </row>
    <row r="849" spans="2:30">
      <c r="B849" s="45">
        <f t="shared" si="300"/>
        <v>7</v>
      </c>
      <c r="C849" s="58" t="s">
        <v>354</v>
      </c>
      <c r="D849" s="59" t="s">
        <v>1772</v>
      </c>
      <c r="E849" s="204"/>
      <c r="F849" s="204"/>
      <c r="G849" s="193"/>
      <c r="H849" s="89"/>
      <c r="I849" s="193"/>
      <c r="J849" s="15">
        <v>1410702000</v>
      </c>
      <c r="K849" s="99">
        <v>1805750000</v>
      </c>
      <c r="L849" s="13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20">
        <v>100</v>
      </c>
      <c r="Z849" s="98">
        <v>92</v>
      </c>
      <c r="AA849" s="22">
        <v>1643544409</v>
      </c>
      <c r="AB849" s="98">
        <f t="shared" si="302"/>
        <v>91.017273099820017</v>
      </c>
      <c r="AC849" s="99">
        <v>970957519</v>
      </c>
      <c r="AD849" s="98">
        <f t="shared" si="303"/>
        <v>53.770318094974392</v>
      </c>
    </row>
    <row r="850" spans="2:30" ht="25.5">
      <c r="B850" s="45">
        <f t="shared" si="300"/>
        <v>8</v>
      </c>
      <c r="C850" s="60" t="s">
        <v>355</v>
      </c>
      <c r="D850" s="398" t="s">
        <v>1773</v>
      </c>
      <c r="E850" s="507"/>
      <c r="F850" s="489"/>
      <c r="G850" s="240"/>
      <c r="H850" s="186"/>
      <c r="I850" s="240"/>
      <c r="J850" s="15">
        <v>167970000</v>
      </c>
      <c r="K850" s="99">
        <v>186434000</v>
      </c>
      <c r="L850" s="32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51">
        <v>100</v>
      </c>
      <c r="Z850" s="395">
        <v>30</v>
      </c>
      <c r="AA850" s="325">
        <v>61046000</v>
      </c>
      <c r="AB850" s="98">
        <f t="shared" si="302"/>
        <v>32.744027376980597</v>
      </c>
      <c r="AC850" s="352">
        <v>50364950</v>
      </c>
      <c r="AD850" s="98">
        <f t="shared" si="303"/>
        <v>27.014895351706237</v>
      </c>
    </row>
    <row r="851" spans="2:30">
      <c r="B851" s="37">
        <v>100</v>
      </c>
      <c r="C851" s="855" t="s">
        <v>1788</v>
      </c>
      <c r="D851" s="855"/>
      <c r="E851" s="483"/>
      <c r="F851" s="483">
        <v>8</v>
      </c>
      <c r="G851" s="468"/>
      <c r="H851" s="526"/>
      <c r="I851" s="468"/>
      <c r="J851" s="35">
        <f>SUM(J843:J850)</f>
        <v>2406906000</v>
      </c>
      <c r="K851" s="35">
        <f>SUM(K843:K850)</f>
        <v>2537670000</v>
      </c>
      <c r="L851" s="37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82">
        <f>SUM(Y843:Y850)/8</f>
        <v>100</v>
      </c>
      <c r="Z851" s="82">
        <f>SUM(Z843:Z850)/8</f>
        <v>80.875</v>
      </c>
      <c r="AA851" s="35">
        <f>SUM(AA843:AA850)</f>
        <v>2113451407</v>
      </c>
      <c r="AB851" s="82">
        <f>SUM(AB843:AB850)/8</f>
        <v>77.368230304555183</v>
      </c>
      <c r="AC851" s="35">
        <f>SUM(AC843:AC850)</f>
        <v>1430183467</v>
      </c>
      <c r="AD851" s="82">
        <f>SUM(AD843:AD850)/8</f>
        <v>71.996219425790187</v>
      </c>
    </row>
    <row r="852" spans="2:30">
      <c r="B852" s="66"/>
      <c r="C852" s="63" t="s">
        <v>1789</v>
      </c>
      <c r="D852" s="118" t="s">
        <v>1790</v>
      </c>
      <c r="E852" s="484"/>
      <c r="F852" s="484"/>
      <c r="G852" s="472"/>
      <c r="H852" s="242"/>
      <c r="I852" s="472"/>
      <c r="J852" s="65"/>
      <c r="K852" s="65"/>
      <c r="L852" s="66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2:30">
      <c r="B853" s="13">
        <f t="shared" ref="B853:B860" si="304">B852+1</f>
        <v>1</v>
      </c>
      <c r="C853" s="17" t="s">
        <v>206</v>
      </c>
      <c r="D853" s="39" t="s">
        <v>28</v>
      </c>
      <c r="E853" s="204"/>
      <c r="F853" s="204"/>
      <c r="G853" s="193"/>
      <c r="H853" s="89"/>
      <c r="I853" s="193"/>
      <c r="J853" s="15">
        <v>64653000</v>
      </c>
      <c r="K853" s="99">
        <v>74381000</v>
      </c>
      <c r="L853" s="13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53">
        <f t="shared" ref="Y853:Y860" si="305">AB853</f>
        <v>88.515615546981081</v>
      </c>
      <c r="Z853" s="53">
        <f t="shared" ref="Z853:Z860" si="306">AD853</f>
        <v>88.515615546981081</v>
      </c>
      <c r="AA853" s="22">
        <v>65838800</v>
      </c>
      <c r="AB853" s="19">
        <f>AA853/K853*100</f>
        <v>88.515615546981081</v>
      </c>
      <c r="AC853" s="53">
        <f t="shared" ref="AC853:AC860" si="307">AA853</f>
        <v>65838800</v>
      </c>
      <c r="AD853" s="19">
        <f>AC853/K853*100</f>
        <v>88.515615546981081</v>
      </c>
    </row>
    <row r="854" spans="2:30">
      <c r="B854" s="13">
        <f t="shared" si="304"/>
        <v>2</v>
      </c>
      <c r="C854" s="17" t="s">
        <v>207</v>
      </c>
      <c r="D854" s="39" t="s">
        <v>30</v>
      </c>
      <c r="E854" s="204"/>
      <c r="F854" s="204"/>
      <c r="G854" s="193"/>
      <c r="H854" s="89"/>
      <c r="I854" s="193"/>
      <c r="J854" s="15">
        <v>5010000</v>
      </c>
      <c r="K854" s="99">
        <v>4650000</v>
      </c>
      <c r="L854" s="13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53">
        <f t="shared" si="305"/>
        <v>90.967741935483872</v>
      </c>
      <c r="Z854" s="53">
        <f t="shared" si="306"/>
        <v>90.967741935483872</v>
      </c>
      <c r="AA854" s="22">
        <v>4230000</v>
      </c>
      <c r="AB854" s="19">
        <f t="shared" ref="AB854:AB860" si="308">AA854/K854*100</f>
        <v>90.967741935483872</v>
      </c>
      <c r="AC854" s="53">
        <f t="shared" si="307"/>
        <v>4230000</v>
      </c>
      <c r="AD854" s="19">
        <f t="shared" ref="AD854:AD860" si="309">AC854/K854*100</f>
        <v>90.967741935483872</v>
      </c>
    </row>
    <row r="855" spans="2:30">
      <c r="B855" s="13">
        <f t="shared" si="304"/>
        <v>3</v>
      </c>
      <c r="C855" s="17" t="s">
        <v>208</v>
      </c>
      <c r="D855" s="39" t="s">
        <v>32</v>
      </c>
      <c r="E855" s="204"/>
      <c r="F855" s="204"/>
      <c r="G855" s="193"/>
      <c r="H855" s="89"/>
      <c r="I855" s="193"/>
      <c r="J855" s="15">
        <v>27085000</v>
      </c>
      <c r="K855" s="99">
        <v>67820000</v>
      </c>
      <c r="L855" s="13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53">
        <f t="shared" si="305"/>
        <v>88.945738720141549</v>
      </c>
      <c r="Z855" s="53">
        <f t="shared" si="306"/>
        <v>88.945738720141549</v>
      </c>
      <c r="AA855" s="22">
        <v>60323000</v>
      </c>
      <c r="AB855" s="19">
        <f t="shared" si="308"/>
        <v>88.945738720141549</v>
      </c>
      <c r="AC855" s="53">
        <f t="shared" si="307"/>
        <v>60323000</v>
      </c>
      <c r="AD855" s="19">
        <f t="shared" si="309"/>
        <v>88.945738720141549</v>
      </c>
    </row>
    <row r="856" spans="2:30">
      <c r="B856" s="13">
        <f t="shared" si="304"/>
        <v>4</v>
      </c>
      <c r="C856" s="17" t="s">
        <v>209</v>
      </c>
      <c r="D856" s="39" t="s">
        <v>34</v>
      </c>
      <c r="E856" s="204"/>
      <c r="F856" s="204"/>
      <c r="G856" s="193"/>
      <c r="H856" s="89"/>
      <c r="I856" s="193"/>
      <c r="J856" s="15">
        <v>42171000</v>
      </c>
      <c r="K856" s="99">
        <v>76560000</v>
      </c>
      <c r="L856" s="13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53">
        <f t="shared" si="305"/>
        <v>99.967345872518294</v>
      </c>
      <c r="Z856" s="53">
        <f t="shared" si="306"/>
        <v>99.967345872518294</v>
      </c>
      <c r="AA856" s="22">
        <v>76535000</v>
      </c>
      <c r="AB856" s="19">
        <f t="shared" si="308"/>
        <v>99.967345872518294</v>
      </c>
      <c r="AC856" s="53">
        <f t="shared" si="307"/>
        <v>76535000</v>
      </c>
      <c r="AD856" s="19">
        <f t="shared" si="309"/>
        <v>99.967345872518294</v>
      </c>
    </row>
    <row r="857" spans="2:30" ht="27">
      <c r="B857" s="13">
        <f t="shared" si="304"/>
        <v>5</v>
      </c>
      <c r="C857" s="17" t="s">
        <v>1777</v>
      </c>
      <c r="D857" s="39" t="s">
        <v>1768</v>
      </c>
      <c r="E857" s="204"/>
      <c r="F857" s="204"/>
      <c r="G857" s="193"/>
      <c r="H857" s="89"/>
      <c r="I857" s="193"/>
      <c r="J857" s="15">
        <v>172465000</v>
      </c>
      <c r="K857" s="99">
        <v>279291000</v>
      </c>
      <c r="L857" s="13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53">
        <f t="shared" si="305"/>
        <v>95.234862562703412</v>
      </c>
      <c r="Z857" s="53">
        <f t="shared" si="306"/>
        <v>95.234862562703412</v>
      </c>
      <c r="AA857" s="22">
        <v>265982400</v>
      </c>
      <c r="AB857" s="19">
        <f t="shared" si="308"/>
        <v>95.234862562703412</v>
      </c>
      <c r="AC857" s="53">
        <f t="shared" si="307"/>
        <v>265982400</v>
      </c>
      <c r="AD857" s="19">
        <f t="shared" si="309"/>
        <v>95.234862562703412</v>
      </c>
    </row>
    <row r="858" spans="2:30">
      <c r="B858" s="13">
        <f t="shared" si="304"/>
        <v>6</v>
      </c>
      <c r="C858" s="17" t="s">
        <v>1778</v>
      </c>
      <c r="D858" s="39" t="s">
        <v>252</v>
      </c>
      <c r="E858" s="204"/>
      <c r="F858" s="204"/>
      <c r="G858" s="193"/>
      <c r="H858" s="89"/>
      <c r="I858" s="193"/>
      <c r="J858" s="15">
        <v>34133000</v>
      </c>
      <c r="K858" s="99">
        <v>34133000</v>
      </c>
      <c r="L858" s="13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53">
        <f t="shared" si="305"/>
        <v>70.352737819705268</v>
      </c>
      <c r="Z858" s="53">
        <f t="shared" si="306"/>
        <v>70.352737819705268</v>
      </c>
      <c r="AA858" s="22">
        <v>24013500</v>
      </c>
      <c r="AB858" s="19">
        <f t="shared" si="308"/>
        <v>70.352737819705268</v>
      </c>
      <c r="AC858" s="53">
        <f t="shared" si="307"/>
        <v>24013500</v>
      </c>
      <c r="AD858" s="19">
        <f t="shared" si="309"/>
        <v>70.352737819705268</v>
      </c>
    </row>
    <row r="859" spans="2:30">
      <c r="B859" s="13">
        <f t="shared" si="304"/>
        <v>7</v>
      </c>
      <c r="C859" s="58" t="s">
        <v>354</v>
      </c>
      <c r="D859" s="389" t="s">
        <v>1772</v>
      </c>
      <c r="E859" s="204"/>
      <c r="F859" s="204"/>
      <c r="G859" s="193"/>
      <c r="H859" s="89"/>
      <c r="I859" s="193"/>
      <c r="J859" s="15">
        <v>1419605000</v>
      </c>
      <c r="K859" s="99">
        <v>1587022000</v>
      </c>
      <c r="L859" s="13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53">
        <f t="shared" si="305"/>
        <v>92.779046856313272</v>
      </c>
      <c r="Z859" s="53">
        <f t="shared" si="306"/>
        <v>92.779046856313272</v>
      </c>
      <c r="AA859" s="22">
        <v>1472423885</v>
      </c>
      <c r="AB859" s="19">
        <f t="shared" si="308"/>
        <v>92.779046856313272</v>
      </c>
      <c r="AC859" s="53">
        <f t="shared" si="307"/>
        <v>1472423885</v>
      </c>
      <c r="AD859" s="19">
        <f t="shared" si="309"/>
        <v>92.779046856313272</v>
      </c>
    </row>
    <row r="860" spans="2:30" ht="30" customHeight="1">
      <c r="B860" s="386">
        <f t="shared" si="304"/>
        <v>8</v>
      </c>
      <c r="C860" s="316" t="s">
        <v>355</v>
      </c>
      <c r="D860" s="387" t="s">
        <v>1773</v>
      </c>
      <c r="E860" s="505"/>
      <c r="F860" s="347"/>
      <c r="G860" s="498"/>
      <c r="H860" s="105"/>
      <c r="I860" s="498"/>
      <c r="J860" s="15">
        <v>140403000</v>
      </c>
      <c r="K860" s="99">
        <v>117688000</v>
      </c>
      <c r="L860" s="32"/>
      <c r="M860" s="33"/>
      <c r="N860" s="33"/>
      <c r="O860" s="33"/>
      <c r="P860" s="33"/>
      <c r="Q860" s="33"/>
      <c r="R860" s="44"/>
      <c r="S860" s="44"/>
      <c r="T860" s="44"/>
      <c r="U860" s="44"/>
      <c r="V860" s="44"/>
      <c r="W860" s="44"/>
      <c r="X860" s="44"/>
      <c r="Y860" s="53">
        <f t="shared" si="305"/>
        <v>54.266365304873908</v>
      </c>
      <c r="Z860" s="53">
        <f t="shared" si="306"/>
        <v>54.266365304873908</v>
      </c>
      <c r="AA860" s="325">
        <v>63865000</v>
      </c>
      <c r="AB860" s="19">
        <f t="shared" si="308"/>
        <v>54.266365304873908</v>
      </c>
      <c r="AC860" s="56">
        <f t="shared" si="307"/>
        <v>63865000</v>
      </c>
      <c r="AD860" s="19">
        <f t="shared" si="309"/>
        <v>54.266365304873908</v>
      </c>
    </row>
    <row r="861" spans="2:30">
      <c r="B861" s="37">
        <v>101</v>
      </c>
      <c r="C861" s="855" t="s">
        <v>1791</v>
      </c>
      <c r="D861" s="855"/>
      <c r="E861" s="483"/>
      <c r="F861" s="483">
        <v>8</v>
      </c>
      <c r="G861" s="468"/>
      <c r="H861" s="526"/>
      <c r="I861" s="468"/>
      <c r="J861" s="35">
        <f>SUM(J853:J860)</f>
        <v>1905525000</v>
      </c>
      <c r="K861" s="35">
        <f>SUM(K853:K860)</f>
        <v>2241545000</v>
      </c>
      <c r="L861" s="37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82">
        <f>SUM(Y853:Y860)/8</f>
        <v>85.128681827340088</v>
      </c>
      <c r="Z861" s="82">
        <f>SUM(Z853:Z860)/8</f>
        <v>85.128681827340088</v>
      </c>
      <c r="AA861" s="35">
        <f>SUM(AA853:AA860)</f>
        <v>2033211585</v>
      </c>
      <c r="AB861" s="82">
        <f>SUM(AB853:AB860)/8</f>
        <v>85.128681827340088</v>
      </c>
      <c r="AC861" s="35">
        <f>SUM(AC853:AC860)</f>
        <v>2033211585</v>
      </c>
      <c r="AD861" s="82">
        <f>SUM(AD853:AD860)/8</f>
        <v>85.128681827340088</v>
      </c>
    </row>
    <row r="862" spans="2:30">
      <c r="B862" s="66"/>
      <c r="C862" s="63" t="s">
        <v>1792</v>
      </c>
      <c r="D862" s="118" t="s">
        <v>1793</v>
      </c>
      <c r="E862" s="484"/>
      <c r="F862" s="484"/>
      <c r="G862" s="472"/>
      <c r="H862" s="242"/>
      <c r="I862" s="472"/>
      <c r="J862" s="65"/>
      <c r="K862" s="65"/>
      <c r="L862" s="66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2:30">
      <c r="B863" s="13">
        <f t="shared" ref="B863:B870" si="310">B862+1</f>
        <v>1</v>
      </c>
      <c r="C863" s="17" t="s">
        <v>206</v>
      </c>
      <c r="D863" s="39" t="s">
        <v>28</v>
      </c>
      <c r="E863" s="204"/>
      <c r="F863" s="204"/>
      <c r="G863" s="193"/>
      <c r="H863" s="89"/>
      <c r="I863" s="193"/>
      <c r="J863" s="15">
        <v>41832000</v>
      </c>
      <c r="K863" s="99">
        <v>43423000</v>
      </c>
      <c r="L863" s="13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53">
        <f t="shared" ref="Y863:Y870" si="311">AB863</f>
        <v>80.373677544158625</v>
      </c>
      <c r="Z863" s="53">
        <f t="shared" ref="Z863:Z870" si="312">AD863</f>
        <v>80.373677544158625</v>
      </c>
      <c r="AA863" s="22">
        <v>34900662</v>
      </c>
      <c r="AB863" s="19">
        <f>AA863/K863*100</f>
        <v>80.373677544158625</v>
      </c>
      <c r="AC863" s="22">
        <f t="shared" ref="AC863:AC870" si="313">AA863</f>
        <v>34900662</v>
      </c>
      <c r="AD863" s="19">
        <f>AC863/K863*100</f>
        <v>80.373677544158625</v>
      </c>
    </row>
    <row r="864" spans="2:30">
      <c r="B864" s="13">
        <f t="shared" si="310"/>
        <v>2</v>
      </c>
      <c r="C864" s="17" t="s">
        <v>207</v>
      </c>
      <c r="D864" s="39" t="s">
        <v>30</v>
      </c>
      <c r="E864" s="204"/>
      <c r="F864" s="204"/>
      <c r="G864" s="193"/>
      <c r="H864" s="89"/>
      <c r="I864" s="193"/>
      <c r="J864" s="15">
        <v>6740000</v>
      </c>
      <c r="K864" s="99">
        <v>0</v>
      </c>
      <c r="L864" s="13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53">
        <f t="shared" si="311"/>
        <v>0</v>
      </c>
      <c r="Z864" s="53">
        <f t="shared" si="312"/>
        <v>0</v>
      </c>
      <c r="AA864" s="53">
        <v>0</v>
      </c>
      <c r="AB864" s="19">
        <v>0</v>
      </c>
      <c r="AC864" s="53">
        <f t="shared" si="313"/>
        <v>0</v>
      </c>
      <c r="AD864" s="19">
        <v>0</v>
      </c>
    </row>
    <row r="865" spans="2:30">
      <c r="B865" s="13">
        <f t="shared" si="310"/>
        <v>3</v>
      </c>
      <c r="C865" s="17" t="s">
        <v>208</v>
      </c>
      <c r="D865" s="39" t="s">
        <v>32</v>
      </c>
      <c r="E865" s="204"/>
      <c r="F865" s="204"/>
      <c r="G865" s="193"/>
      <c r="H865" s="89"/>
      <c r="I865" s="193"/>
      <c r="J865" s="15">
        <v>26742000</v>
      </c>
      <c r="K865" s="99">
        <v>72082000</v>
      </c>
      <c r="L865" s="13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53">
        <f t="shared" si="311"/>
        <v>93.560056602203048</v>
      </c>
      <c r="Z865" s="53">
        <f t="shared" si="312"/>
        <v>93.560056602203048</v>
      </c>
      <c r="AA865" s="53">
        <v>67439960</v>
      </c>
      <c r="AB865" s="19">
        <f t="shared" ref="AB865:AB870" si="314">AA865/K865*100</f>
        <v>93.560056602203048</v>
      </c>
      <c r="AC865" s="53">
        <f t="shared" si="313"/>
        <v>67439960</v>
      </c>
      <c r="AD865" s="19">
        <f t="shared" ref="AD865:AD870" si="315">AC865/K865*100</f>
        <v>93.560056602203048</v>
      </c>
    </row>
    <row r="866" spans="2:30">
      <c r="B866" s="13">
        <f t="shared" si="310"/>
        <v>4</v>
      </c>
      <c r="C866" s="17" t="s">
        <v>209</v>
      </c>
      <c r="D866" s="39" t="s">
        <v>34</v>
      </c>
      <c r="E866" s="204"/>
      <c r="F866" s="204"/>
      <c r="G866" s="193"/>
      <c r="H866" s="89"/>
      <c r="I866" s="193"/>
      <c r="J866" s="15">
        <v>14440000</v>
      </c>
      <c r="K866" s="99">
        <v>35900000</v>
      </c>
      <c r="L866" s="13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53">
        <f t="shared" si="311"/>
        <v>100</v>
      </c>
      <c r="Z866" s="53">
        <f t="shared" si="312"/>
        <v>100</v>
      </c>
      <c r="AA866" s="53">
        <v>35900000</v>
      </c>
      <c r="AB866" s="19">
        <f t="shared" si="314"/>
        <v>100</v>
      </c>
      <c r="AC866" s="53">
        <f t="shared" si="313"/>
        <v>35900000</v>
      </c>
      <c r="AD866" s="19">
        <f t="shared" si="315"/>
        <v>100</v>
      </c>
    </row>
    <row r="867" spans="2:30" ht="27">
      <c r="B867" s="13">
        <f t="shared" si="310"/>
        <v>5</v>
      </c>
      <c r="C867" s="17" t="s">
        <v>1777</v>
      </c>
      <c r="D867" s="39" t="s">
        <v>1768</v>
      </c>
      <c r="E867" s="204"/>
      <c r="F867" s="204"/>
      <c r="G867" s="193"/>
      <c r="H867" s="89"/>
      <c r="I867" s="193"/>
      <c r="J867" s="15">
        <v>115350000</v>
      </c>
      <c r="K867" s="99">
        <v>116604000</v>
      </c>
      <c r="L867" s="13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53">
        <f t="shared" si="311"/>
        <v>92.195593633151518</v>
      </c>
      <c r="Z867" s="53">
        <f t="shared" si="312"/>
        <v>92.195593633151518</v>
      </c>
      <c r="AA867" s="53">
        <v>107503750</v>
      </c>
      <c r="AB867" s="19">
        <f t="shared" si="314"/>
        <v>92.195593633151518</v>
      </c>
      <c r="AC867" s="53">
        <f t="shared" si="313"/>
        <v>107503750</v>
      </c>
      <c r="AD867" s="19">
        <f t="shared" si="315"/>
        <v>92.195593633151518</v>
      </c>
    </row>
    <row r="868" spans="2:30">
      <c r="B868" s="45">
        <f t="shared" si="310"/>
        <v>6</v>
      </c>
      <c r="C868" s="44" t="s">
        <v>1778</v>
      </c>
      <c r="D868" s="78" t="s">
        <v>252</v>
      </c>
      <c r="E868" s="489"/>
      <c r="F868" s="489"/>
      <c r="G868" s="240"/>
      <c r="H868" s="186"/>
      <c r="I868" s="240"/>
      <c r="J868" s="15">
        <v>85000000</v>
      </c>
      <c r="K868" s="99">
        <v>85000000</v>
      </c>
      <c r="L868" s="45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55">
        <f t="shared" si="311"/>
        <v>15.748235294117647</v>
      </c>
      <c r="Z868" s="55">
        <f t="shared" si="312"/>
        <v>15.748235294117647</v>
      </c>
      <c r="AA868" s="55">
        <v>13386000</v>
      </c>
      <c r="AB868" s="19">
        <f t="shared" si="314"/>
        <v>15.748235294117647</v>
      </c>
      <c r="AC868" s="55">
        <f t="shared" si="313"/>
        <v>13386000</v>
      </c>
      <c r="AD868" s="19">
        <f t="shared" si="315"/>
        <v>15.748235294117647</v>
      </c>
    </row>
    <row r="869" spans="2:30">
      <c r="B869" s="13">
        <f t="shared" si="310"/>
        <v>7</v>
      </c>
      <c r="C869" s="58" t="s">
        <v>354</v>
      </c>
      <c r="D869" s="58" t="s">
        <v>1772</v>
      </c>
      <c r="E869" s="204"/>
      <c r="F869" s="204"/>
      <c r="G869" s="193"/>
      <c r="H869" s="89"/>
      <c r="I869" s="193"/>
      <c r="J869" s="15">
        <v>2136546000</v>
      </c>
      <c r="K869" s="99">
        <v>3258415000</v>
      </c>
      <c r="L869" s="13"/>
      <c r="M869" s="17"/>
      <c r="N869" s="17"/>
      <c r="O869" s="17"/>
      <c r="P869" s="17"/>
      <c r="Q869" s="17"/>
      <c r="R869" s="44"/>
      <c r="S869" s="44"/>
      <c r="T869" s="44"/>
      <c r="U869" s="44"/>
      <c r="V869" s="44"/>
      <c r="W869" s="44"/>
      <c r="X869" s="44"/>
      <c r="Y869" s="55">
        <f t="shared" si="311"/>
        <v>60.081988881097089</v>
      </c>
      <c r="Z869" s="55">
        <f t="shared" si="312"/>
        <v>60.081988881097089</v>
      </c>
      <c r="AA869" s="22">
        <v>1957720538</v>
      </c>
      <c r="AB869" s="19">
        <f t="shared" si="314"/>
        <v>60.081988881097089</v>
      </c>
      <c r="AC869" s="22">
        <f t="shared" si="313"/>
        <v>1957720538</v>
      </c>
      <c r="AD869" s="19">
        <f t="shared" si="315"/>
        <v>60.081988881097089</v>
      </c>
    </row>
    <row r="870" spans="2:30" ht="25.5">
      <c r="B870" s="32">
        <f t="shared" si="310"/>
        <v>8</v>
      </c>
      <c r="C870" s="60" t="s">
        <v>355</v>
      </c>
      <c r="D870" s="397" t="s">
        <v>1773</v>
      </c>
      <c r="E870" s="507"/>
      <c r="F870" s="489"/>
      <c r="G870" s="240"/>
      <c r="H870" s="186"/>
      <c r="I870" s="240"/>
      <c r="J870" s="15">
        <v>132714000</v>
      </c>
      <c r="K870" s="99">
        <v>120154000</v>
      </c>
      <c r="L870" s="32"/>
      <c r="M870" s="33"/>
      <c r="N870" s="33"/>
      <c r="O870" s="33"/>
      <c r="P870" s="33"/>
      <c r="Q870" s="33"/>
      <c r="R870" s="44"/>
      <c r="S870" s="44"/>
      <c r="T870" s="44"/>
      <c r="U870" s="44"/>
      <c r="V870" s="44"/>
      <c r="W870" s="44"/>
      <c r="X870" s="44"/>
      <c r="Y870" s="55">
        <f t="shared" si="311"/>
        <v>5.9872230637348736</v>
      </c>
      <c r="Z870" s="55">
        <f t="shared" si="312"/>
        <v>5.9872230637348736</v>
      </c>
      <c r="AA870" s="56">
        <v>7193888</v>
      </c>
      <c r="AB870" s="19">
        <f t="shared" si="314"/>
        <v>5.9872230637348736</v>
      </c>
      <c r="AC870" s="56">
        <f t="shared" si="313"/>
        <v>7193888</v>
      </c>
      <c r="AD870" s="19">
        <f t="shared" si="315"/>
        <v>5.9872230637348736</v>
      </c>
    </row>
    <row r="871" spans="2:30">
      <c r="B871" s="37">
        <v>102</v>
      </c>
      <c r="C871" s="855" t="s">
        <v>1794</v>
      </c>
      <c r="D871" s="855"/>
      <c r="E871" s="483"/>
      <c r="F871" s="483">
        <v>7</v>
      </c>
      <c r="G871" s="468"/>
      <c r="H871" s="526"/>
      <c r="I871" s="468"/>
      <c r="J871" s="35">
        <f>SUM(J863:J870)</f>
        <v>2559364000</v>
      </c>
      <c r="K871" s="35">
        <f>SUM(K863:K870)</f>
        <v>3731578000</v>
      </c>
      <c r="L871" s="37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82">
        <f>SUM(Y863:Y870)/7</f>
        <v>63.992396431208967</v>
      </c>
      <c r="Z871" s="82">
        <f>SUM(Z863:Z870)/7</f>
        <v>63.992396431208967</v>
      </c>
      <c r="AA871" s="35">
        <f>SUM(AA863:AA870)</f>
        <v>2224044798</v>
      </c>
      <c r="AB871" s="82">
        <f>SUM(AB863:AB870)/7</f>
        <v>63.992396431208967</v>
      </c>
      <c r="AC871" s="35">
        <f>SUM(AC863:AC870)</f>
        <v>2224044798</v>
      </c>
      <c r="AD871" s="82">
        <f>SUM(AD863:AD870)/7</f>
        <v>63.992396431208967</v>
      </c>
    </row>
    <row r="872" spans="2:30">
      <c r="B872" s="66"/>
      <c r="C872" s="63" t="s">
        <v>1795</v>
      </c>
      <c r="D872" s="118" t="s">
        <v>1796</v>
      </c>
      <c r="E872" s="484"/>
      <c r="F872" s="484"/>
      <c r="G872" s="472"/>
      <c r="H872" s="242"/>
      <c r="I872" s="472"/>
      <c r="J872" s="65"/>
      <c r="K872" s="65"/>
      <c r="L872" s="66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2:30">
      <c r="B873" s="13">
        <f t="shared" ref="B873:B879" si="316">B872+1</f>
        <v>1</v>
      </c>
      <c r="C873" s="17" t="s">
        <v>206</v>
      </c>
      <c r="D873" s="39" t="s">
        <v>28</v>
      </c>
      <c r="E873" s="204"/>
      <c r="F873" s="204"/>
      <c r="G873" s="193"/>
      <c r="H873" s="89"/>
      <c r="I873" s="193"/>
      <c r="J873" s="15">
        <v>18975000</v>
      </c>
      <c r="K873" s="99">
        <v>51682000</v>
      </c>
      <c r="L873" s="13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53">
        <f>AB873</f>
        <v>78.732369103362871</v>
      </c>
      <c r="Z873" s="53">
        <f>AD873</f>
        <v>78.732369103362871</v>
      </c>
      <c r="AA873" s="53">
        <v>40690463</v>
      </c>
      <c r="AB873" s="19">
        <f>AA873/K873*100</f>
        <v>78.732369103362871</v>
      </c>
      <c r="AC873" s="53">
        <f t="shared" ref="AC873:AC879" si="317">AA873</f>
        <v>40690463</v>
      </c>
      <c r="AD873" s="19">
        <f>AC873/K873*100</f>
        <v>78.732369103362871</v>
      </c>
    </row>
    <row r="874" spans="2:30">
      <c r="B874" s="13">
        <f t="shared" si="316"/>
        <v>2</v>
      </c>
      <c r="C874" s="17" t="s">
        <v>208</v>
      </c>
      <c r="D874" s="39" t="s">
        <v>32</v>
      </c>
      <c r="E874" s="204"/>
      <c r="F874" s="204"/>
      <c r="G874" s="193"/>
      <c r="H874" s="89"/>
      <c r="I874" s="193"/>
      <c r="J874" s="15">
        <v>14828000</v>
      </c>
      <c r="K874" s="99">
        <v>28577000</v>
      </c>
      <c r="L874" s="13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53">
        <f t="shared" ref="Y874:Y879" si="318">AB874</f>
        <v>68.408510340483602</v>
      </c>
      <c r="Z874" s="53">
        <f t="shared" ref="Z874:Z879" si="319">AD874</f>
        <v>68.408510340483602</v>
      </c>
      <c r="AA874" s="53">
        <v>19549100</v>
      </c>
      <c r="AB874" s="19">
        <f t="shared" ref="AB874:AB879" si="320">AA874/K874*100</f>
        <v>68.408510340483602</v>
      </c>
      <c r="AC874" s="53">
        <f t="shared" si="317"/>
        <v>19549100</v>
      </c>
      <c r="AD874" s="19">
        <f t="shared" ref="AD874:AD879" si="321">AC874/K874*100</f>
        <v>68.408510340483602</v>
      </c>
    </row>
    <row r="875" spans="2:30">
      <c r="B875" s="13">
        <f t="shared" si="316"/>
        <v>3</v>
      </c>
      <c r="C875" s="17" t="s">
        <v>209</v>
      </c>
      <c r="D875" s="39" t="s">
        <v>34</v>
      </c>
      <c r="E875" s="204"/>
      <c r="F875" s="204"/>
      <c r="G875" s="193"/>
      <c r="H875" s="89"/>
      <c r="I875" s="193"/>
      <c r="J875" s="15">
        <v>49097000</v>
      </c>
      <c r="K875" s="99">
        <v>71889000</v>
      </c>
      <c r="L875" s="13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53">
        <f t="shared" si="318"/>
        <v>66.163112576332963</v>
      </c>
      <c r="Z875" s="53">
        <f t="shared" si="319"/>
        <v>66.163112576332963</v>
      </c>
      <c r="AA875" s="53">
        <v>47564000</v>
      </c>
      <c r="AB875" s="19">
        <f t="shared" si="320"/>
        <v>66.163112576332963</v>
      </c>
      <c r="AC875" s="53">
        <f t="shared" si="317"/>
        <v>47564000</v>
      </c>
      <c r="AD875" s="19">
        <f t="shared" si="321"/>
        <v>66.163112576332963</v>
      </c>
    </row>
    <row r="876" spans="2:30" ht="33.75" customHeight="1">
      <c r="B876" s="13">
        <f t="shared" si="316"/>
        <v>4</v>
      </c>
      <c r="C876" s="17" t="s">
        <v>1777</v>
      </c>
      <c r="D876" s="39" t="s">
        <v>1768</v>
      </c>
      <c r="E876" s="204"/>
      <c r="F876" s="204"/>
      <c r="G876" s="193"/>
      <c r="H876" s="89"/>
      <c r="I876" s="193"/>
      <c r="J876" s="15">
        <v>86450000</v>
      </c>
      <c r="K876" s="99">
        <v>88130000</v>
      </c>
      <c r="L876" s="13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53">
        <f t="shared" si="318"/>
        <v>95.449543855667756</v>
      </c>
      <c r="Z876" s="53">
        <f t="shared" si="319"/>
        <v>95.449543855667756</v>
      </c>
      <c r="AA876" s="53">
        <v>84119683</v>
      </c>
      <c r="AB876" s="19">
        <f t="shared" si="320"/>
        <v>95.449543855667756</v>
      </c>
      <c r="AC876" s="53">
        <f t="shared" si="317"/>
        <v>84119683</v>
      </c>
      <c r="AD876" s="19">
        <f t="shared" si="321"/>
        <v>95.449543855667756</v>
      </c>
    </row>
    <row r="877" spans="2:30" ht="21" customHeight="1">
      <c r="B877" s="45">
        <f t="shared" si="316"/>
        <v>5</v>
      </c>
      <c r="C877" s="44" t="s">
        <v>1778</v>
      </c>
      <c r="D877" s="78" t="s">
        <v>252</v>
      </c>
      <c r="E877" s="489"/>
      <c r="F877" s="489"/>
      <c r="G877" s="240"/>
      <c r="H877" s="186"/>
      <c r="I877" s="240"/>
      <c r="J877" s="15">
        <v>65502000</v>
      </c>
      <c r="K877" s="99">
        <v>65502000</v>
      </c>
      <c r="L877" s="45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53">
        <f t="shared" si="318"/>
        <v>21.120729138041586</v>
      </c>
      <c r="Z877" s="53">
        <f t="shared" si="319"/>
        <v>21.120729138041586</v>
      </c>
      <c r="AA877" s="55">
        <v>13834500</v>
      </c>
      <c r="AB877" s="19">
        <f t="shared" si="320"/>
        <v>21.120729138041586</v>
      </c>
      <c r="AC877" s="55">
        <f t="shared" si="317"/>
        <v>13834500</v>
      </c>
      <c r="AD877" s="19">
        <f t="shared" si="321"/>
        <v>21.120729138041586</v>
      </c>
    </row>
    <row r="878" spans="2:30" ht="18" customHeight="1">
      <c r="B878" s="45">
        <f t="shared" si="316"/>
        <v>6</v>
      </c>
      <c r="C878" s="58" t="s">
        <v>354</v>
      </c>
      <c r="D878" s="59" t="s">
        <v>1772</v>
      </c>
      <c r="E878" s="204"/>
      <c r="F878" s="204"/>
      <c r="G878" s="193"/>
      <c r="H878" s="89"/>
      <c r="I878" s="193"/>
      <c r="J878" s="15">
        <v>1208360000</v>
      </c>
      <c r="K878" s="99">
        <v>1393700000</v>
      </c>
      <c r="L878" s="13"/>
      <c r="M878" s="17"/>
      <c r="N878" s="17"/>
      <c r="O878" s="17"/>
      <c r="P878" s="17"/>
      <c r="Q878" s="17"/>
      <c r="R878" s="44"/>
      <c r="S878" s="44"/>
      <c r="T878" s="44"/>
      <c r="U878" s="44"/>
      <c r="V878" s="44"/>
      <c r="W878" s="44"/>
      <c r="X878" s="44"/>
      <c r="Y878" s="53">
        <f t="shared" si="318"/>
        <v>78.312744062567262</v>
      </c>
      <c r="Z878" s="53">
        <f t="shared" si="319"/>
        <v>78.312744062567262</v>
      </c>
      <c r="AA878" s="53">
        <v>1091444714</v>
      </c>
      <c r="AB878" s="19">
        <f t="shared" si="320"/>
        <v>78.312744062567262</v>
      </c>
      <c r="AC878" s="53">
        <f t="shared" si="317"/>
        <v>1091444714</v>
      </c>
      <c r="AD878" s="19">
        <f t="shared" si="321"/>
        <v>78.312744062567262</v>
      </c>
    </row>
    <row r="879" spans="2:30" ht="27" customHeight="1">
      <c r="B879" s="45">
        <f t="shared" si="316"/>
        <v>7</v>
      </c>
      <c r="C879" s="60" t="s">
        <v>355</v>
      </c>
      <c r="D879" s="398" t="s">
        <v>1773</v>
      </c>
      <c r="E879" s="507"/>
      <c r="F879" s="489"/>
      <c r="G879" s="240"/>
      <c r="H879" s="186"/>
      <c r="I879" s="240"/>
      <c r="J879" s="15">
        <v>111640000</v>
      </c>
      <c r="K879" s="99">
        <v>94539000</v>
      </c>
      <c r="L879" s="32"/>
      <c r="M879" s="33"/>
      <c r="N879" s="33"/>
      <c r="O879" s="33"/>
      <c r="P879" s="33"/>
      <c r="Q879" s="33"/>
      <c r="R879" s="44"/>
      <c r="S879" s="44"/>
      <c r="T879" s="44"/>
      <c r="U879" s="44"/>
      <c r="V879" s="44"/>
      <c r="W879" s="44"/>
      <c r="X879" s="44"/>
      <c r="Y879" s="53">
        <f t="shared" si="318"/>
        <v>39.957054760469227</v>
      </c>
      <c r="Z879" s="53">
        <f t="shared" si="319"/>
        <v>39.957054760469227</v>
      </c>
      <c r="AA879" s="56">
        <v>37775000</v>
      </c>
      <c r="AB879" s="19">
        <f t="shared" si="320"/>
        <v>39.957054760469227</v>
      </c>
      <c r="AC879" s="56">
        <f t="shared" si="317"/>
        <v>37775000</v>
      </c>
      <c r="AD879" s="19">
        <f t="shared" si="321"/>
        <v>39.957054760469227</v>
      </c>
    </row>
    <row r="880" spans="2:30" ht="17.25" customHeight="1">
      <c r="B880" s="37">
        <v>103</v>
      </c>
      <c r="C880" s="855" t="s">
        <v>1797</v>
      </c>
      <c r="D880" s="855"/>
      <c r="E880" s="483"/>
      <c r="F880" s="483">
        <v>7</v>
      </c>
      <c r="G880" s="468"/>
      <c r="H880" s="526"/>
      <c r="I880" s="468"/>
      <c r="J880" s="35">
        <f>SUM(J873:J879)</f>
        <v>1554852000</v>
      </c>
      <c r="K880" s="35">
        <f>SUM(K873:K879)</f>
        <v>1794019000</v>
      </c>
      <c r="L880" s="37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82">
        <f>SUM(Y873:Y879)/7</f>
        <v>64.020580548132187</v>
      </c>
      <c r="Z880" s="82">
        <f>SUM(Z873:Z879)/7</f>
        <v>64.020580548132187</v>
      </c>
      <c r="AA880" s="35">
        <f>SUM(AA873:AA879)</f>
        <v>1334977460</v>
      </c>
      <c r="AB880" s="35">
        <f>SUM(AB873:AB879)/7</f>
        <v>64.020580548132187</v>
      </c>
      <c r="AC880" s="35">
        <f>SUM(AC873:AC879)</f>
        <v>1334977460</v>
      </c>
      <c r="AD880" s="35">
        <f>SUM(AD873:AD879)/7</f>
        <v>64.020580548132187</v>
      </c>
    </row>
    <row r="881" spans="2:30">
      <c r="B881" s="66"/>
      <c r="C881" s="63" t="s">
        <v>1798</v>
      </c>
      <c r="D881" s="118" t="s">
        <v>1799</v>
      </c>
      <c r="E881" s="484"/>
      <c r="F881" s="484"/>
      <c r="G881" s="472"/>
      <c r="H881" s="242"/>
      <c r="I881" s="472"/>
      <c r="J881" s="65"/>
      <c r="K881" s="65"/>
      <c r="L881" s="66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2:30">
      <c r="B882" s="13">
        <f t="shared" ref="B882:B888" si="322">B881+1</f>
        <v>1</v>
      </c>
      <c r="C882" s="17" t="s">
        <v>206</v>
      </c>
      <c r="D882" s="39" t="s">
        <v>28</v>
      </c>
      <c r="E882" s="204"/>
      <c r="F882" s="204"/>
      <c r="G882" s="193"/>
      <c r="H882" s="89"/>
      <c r="I882" s="193"/>
      <c r="J882" s="15">
        <v>28887000</v>
      </c>
      <c r="K882" s="99">
        <v>33429000</v>
      </c>
      <c r="L882" s="13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53">
        <f t="shared" ref="Y882:Y888" si="323">AB882</f>
        <v>83.728550061324</v>
      </c>
      <c r="Z882" s="53">
        <f t="shared" ref="Z882:Z888" si="324">AD882</f>
        <v>83.728550061324</v>
      </c>
      <c r="AA882" s="22">
        <v>27989617</v>
      </c>
      <c r="AB882" s="19">
        <f>AA882/K882*100</f>
        <v>83.728550061324</v>
      </c>
      <c r="AC882" s="22">
        <f t="shared" ref="AC882:AC888" si="325">AA882</f>
        <v>27989617</v>
      </c>
      <c r="AD882" s="19">
        <f>AC882/K882*100</f>
        <v>83.728550061324</v>
      </c>
    </row>
    <row r="883" spans="2:30">
      <c r="B883" s="13">
        <f t="shared" si="322"/>
        <v>2</v>
      </c>
      <c r="C883" s="17" t="s">
        <v>207</v>
      </c>
      <c r="D883" s="39" t="s">
        <v>30</v>
      </c>
      <c r="E883" s="204"/>
      <c r="F883" s="204"/>
      <c r="G883" s="193"/>
      <c r="H883" s="89"/>
      <c r="I883" s="193"/>
      <c r="J883" s="15">
        <v>3000000</v>
      </c>
      <c r="K883" s="99">
        <v>5100000</v>
      </c>
      <c r="L883" s="13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53">
        <f t="shared" si="323"/>
        <v>88.823529411764696</v>
      </c>
      <c r="Z883" s="53">
        <f t="shared" si="324"/>
        <v>88.823529411764696</v>
      </c>
      <c r="AA883" s="22">
        <v>4530000</v>
      </c>
      <c r="AB883" s="19">
        <f t="shared" ref="AB883:AB888" si="326">AA883/K883*100</f>
        <v>88.823529411764696</v>
      </c>
      <c r="AC883" s="22">
        <f t="shared" si="325"/>
        <v>4530000</v>
      </c>
      <c r="AD883" s="19">
        <f t="shared" ref="AD883:AD888" si="327">AC883/K883*100</f>
        <v>88.823529411764696</v>
      </c>
    </row>
    <row r="884" spans="2:30">
      <c r="B884" s="13">
        <f t="shared" si="322"/>
        <v>3</v>
      </c>
      <c r="C884" s="17" t="s">
        <v>208</v>
      </c>
      <c r="D884" s="39" t="s">
        <v>32</v>
      </c>
      <c r="E884" s="204"/>
      <c r="F884" s="204"/>
      <c r="G884" s="193"/>
      <c r="H884" s="89"/>
      <c r="I884" s="193"/>
      <c r="J884" s="15">
        <v>25269000</v>
      </c>
      <c r="K884" s="99">
        <v>23369000</v>
      </c>
      <c r="L884" s="13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53">
        <f t="shared" si="323"/>
        <v>70.902798579314478</v>
      </c>
      <c r="Z884" s="53">
        <f t="shared" si="324"/>
        <v>70.902798579314478</v>
      </c>
      <c r="AA884" s="22">
        <v>16569275</v>
      </c>
      <c r="AB884" s="19">
        <f t="shared" si="326"/>
        <v>70.902798579314478</v>
      </c>
      <c r="AC884" s="22">
        <f t="shared" si="325"/>
        <v>16569275</v>
      </c>
      <c r="AD884" s="19">
        <f t="shared" si="327"/>
        <v>70.902798579314478</v>
      </c>
    </row>
    <row r="885" spans="2:30" ht="27">
      <c r="B885" s="13">
        <f t="shared" si="322"/>
        <v>4</v>
      </c>
      <c r="C885" s="17" t="s">
        <v>1777</v>
      </c>
      <c r="D885" s="39" t="s">
        <v>1768</v>
      </c>
      <c r="E885" s="204"/>
      <c r="F885" s="204"/>
      <c r="G885" s="193"/>
      <c r="H885" s="89"/>
      <c r="I885" s="193"/>
      <c r="J885" s="15">
        <v>57154000</v>
      </c>
      <c r="K885" s="99">
        <v>85299000</v>
      </c>
      <c r="L885" s="13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53">
        <f t="shared" si="323"/>
        <v>80.486594215641446</v>
      </c>
      <c r="Z885" s="53">
        <f t="shared" si="324"/>
        <v>80.486594215641446</v>
      </c>
      <c r="AA885" s="22">
        <v>68654260</v>
      </c>
      <c r="AB885" s="19">
        <f t="shared" si="326"/>
        <v>80.486594215641446</v>
      </c>
      <c r="AC885" s="22">
        <f t="shared" si="325"/>
        <v>68654260</v>
      </c>
      <c r="AD885" s="19">
        <f t="shared" si="327"/>
        <v>80.486594215641446</v>
      </c>
    </row>
    <row r="886" spans="2:30">
      <c r="B886" s="45">
        <f t="shared" si="322"/>
        <v>5</v>
      </c>
      <c r="C886" s="44" t="s">
        <v>1778</v>
      </c>
      <c r="D886" s="78" t="s">
        <v>252</v>
      </c>
      <c r="E886" s="489"/>
      <c r="F886" s="489"/>
      <c r="G886" s="240"/>
      <c r="H886" s="186"/>
      <c r="I886" s="240"/>
      <c r="J886" s="15">
        <v>14418000</v>
      </c>
      <c r="K886" s="99">
        <v>14418000</v>
      </c>
      <c r="L886" s="45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55">
        <f t="shared" si="323"/>
        <v>84.416701345540304</v>
      </c>
      <c r="Z886" s="55">
        <f t="shared" si="324"/>
        <v>84.416701345540304</v>
      </c>
      <c r="AA886" s="73">
        <v>12171200</v>
      </c>
      <c r="AB886" s="19">
        <f t="shared" si="326"/>
        <v>84.416701345540304</v>
      </c>
      <c r="AC886" s="73">
        <f t="shared" si="325"/>
        <v>12171200</v>
      </c>
      <c r="AD886" s="19">
        <f t="shared" si="327"/>
        <v>84.416701345540304</v>
      </c>
    </row>
    <row r="887" spans="2:30">
      <c r="B887" s="45">
        <f t="shared" si="322"/>
        <v>6</v>
      </c>
      <c r="C887" s="58" t="s">
        <v>354</v>
      </c>
      <c r="D887" s="328" t="s">
        <v>1772</v>
      </c>
      <c r="E887" s="204"/>
      <c r="F887" s="204"/>
      <c r="G887" s="193"/>
      <c r="H887" s="89"/>
      <c r="I887" s="193"/>
      <c r="J887" s="15">
        <v>716005000</v>
      </c>
      <c r="K887" s="99">
        <v>788944000</v>
      </c>
      <c r="L887" s="13"/>
      <c r="M887" s="17"/>
      <c r="N887" s="17"/>
      <c r="O887" s="17"/>
      <c r="P887" s="17"/>
      <c r="Q887" s="17"/>
      <c r="R887" s="44"/>
      <c r="S887" s="44"/>
      <c r="T887" s="44"/>
      <c r="U887" s="44"/>
      <c r="V887" s="44"/>
      <c r="W887" s="44"/>
      <c r="X887" s="44"/>
      <c r="Y887" s="55">
        <f t="shared" si="323"/>
        <v>83.984111293070228</v>
      </c>
      <c r="Z887" s="55">
        <f t="shared" si="324"/>
        <v>83.984111293070228</v>
      </c>
      <c r="AA887" s="22">
        <v>662587607</v>
      </c>
      <c r="AB887" s="19">
        <f t="shared" si="326"/>
        <v>83.984111293070228</v>
      </c>
      <c r="AC887" s="22">
        <f t="shared" si="325"/>
        <v>662587607</v>
      </c>
      <c r="AD887" s="19">
        <f t="shared" si="327"/>
        <v>83.984111293070228</v>
      </c>
    </row>
    <row r="888" spans="2:30" ht="25.5">
      <c r="B888" s="45">
        <f t="shared" si="322"/>
        <v>7</v>
      </c>
      <c r="C888" s="60" t="s">
        <v>355</v>
      </c>
      <c r="D888" s="399" t="s">
        <v>1773</v>
      </c>
      <c r="E888" s="507"/>
      <c r="F888" s="489"/>
      <c r="G888" s="240"/>
      <c r="H888" s="186"/>
      <c r="I888" s="240"/>
      <c r="J888" s="15">
        <v>24935000</v>
      </c>
      <c r="K888" s="99">
        <v>30195000</v>
      </c>
      <c r="L888" s="32"/>
      <c r="M888" s="33"/>
      <c r="N888" s="33"/>
      <c r="O888" s="33"/>
      <c r="P888" s="33"/>
      <c r="Q888" s="33"/>
      <c r="R888" s="44"/>
      <c r="S888" s="44"/>
      <c r="T888" s="44"/>
      <c r="U888" s="44"/>
      <c r="V888" s="44"/>
      <c r="W888" s="44"/>
      <c r="X888" s="44"/>
      <c r="Y888" s="55">
        <f t="shared" si="323"/>
        <v>54.351713859910575</v>
      </c>
      <c r="Z888" s="55">
        <f t="shared" si="324"/>
        <v>54.351713859910575</v>
      </c>
      <c r="AA888" s="325">
        <v>16411500</v>
      </c>
      <c r="AB888" s="19">
        <f t="shared" si="326"/>
        <v>54.351713859910575</v>
      </c>
      <c r="AC888" s="325">
        <f t="shared" si="325"/>
        <v>16411500</v>
      </c>
      <c r="AD888" s="19">
        <f t="shared" si="327"/>
        <v>54.351713859910575</v>
      </c>
    </row>
    <row r="889" spans="2:30">
      <c r="B889" s="37">
        <v>104</v>
      </c>
      <c r="C889" s="855" t="s">
        <v>1800</v>
      </c>
      <c r="D889" s="855"/>
      <c r="E889" s="483"/>
      <c r="F889" s="483">
        <v>7</v>
      </c>
      <c r="G889" s="468"/>
      <c r="H889" s="526"/>
      <c r="I889" s="468"/>
      <c r="J889" s="35">
        <f>SUM(J882:J888)</f>
        <v>869668000</v>
      </c>
      <c r="K889" s="35">
        <f>SUM(K882:K888)</f>
        <v>980754000</v>
      </c>
      <c r="L889" s="37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82">
        <f>SUM(Y882:Y888)/7</f>
        <v>78.099142680937945</v>
      </c>
      <c r="Z889" s="82">
        <f>SUM(Z882:Z888)/7</f>
        <v>78.099142680937945</v>
      </c>
      <c r="AA889" s="35">
        <f>SUM(AA882:AA888)</f>
        <v>808913459</v>
      </c>
      <c r="AB889" s="82">
        <f>SUM(AB882:AB888)/7</f>
        <v>78.099142680937945</v>
      </c>
      <c r="AC889" s="35">
        <f>SUM(AC882:AC888)</f>
        <v>808913459</v>
      </c>
      <c r="AD889" s="82">
        <f>SUM(AD882:AD888)/7</f>
        <v>78.099142680937945</v>
      </c>
    </row>
    <row r="890" spans="2:30">
      <c r="B890" s="66"/>
      <c r="C890" s="63" t="s">
        <v>1801</v>
      </c>
      <c r="D890" s="118" t="s">
        <v>1802</v>
      </c>
      <c r="E890" s="484"/>
      <c r="F890" s="484"/>
      <c r="G890" s="472"/>
      <c r="H890" s="242"/>
      <c r="I890" s="472"/>
      <c r="J890" s="65"/>
      <c r="K890" s="65"/>
      <c r="L890" s="66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2:30">
      <c r="B891" s="13">
        <f t="shared" ref="B891:B898" si="328">B890+1</f>
        <v>1</v>
      </c>
      <c r="C891" s="17" t="s">
        <v>206</v>
      </c>
      <c r="D891" s="39" t="s">
        <v>28</v>
      </c>
      <c r="E891" s="204"/>
      <c r="F891" s="204"/>
      <c r="G891" s="193"/>
      <c r="H891" s="89"/>
      <c r="I891" s="193"/>
      <c r="J891" s="15">
        <v>52994000</v>
      </c>
      <c r="K891" s="99">
        <v>66548000</v>
      </c>
      <c r="L891" s="13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53">
        <f t="shared" ref="Y891:Y898" si="329">AB891</f>
        <v>80.054667307807904</v>
      </c>
      <c r="Z891" s="53">
        <f t="shared" ref="Z891:Z898" si="330">AD891</f>
        <v>80.054667307807904</v>
      </c>
      <c r="AA891" s="53">
        <v>53274780</v>
      </c>
      <c r="AB891" s="19">
        <f>AA891/K891*100</f>
        <v>80.054667307807904</v>
      </c>
      <c r="AC891" s="53">
        <f t="shared" ref="AC891:AC898" si="331">AA891</f>
        <v>53274780</v>
      </c>
      <c r="AD891" s="19">
        <f>AC891/K891*100</f>
        <v>80.054667307807904</v>
      </c>
    </row>
    <row r="892" spans="2:30">
      <c r="B892" s="13">
        <f t="shared" si="328"/>
        <v>2</v>
      </c>
      <c r="C892" s="17" t="s">
        <v>207</v>
      </c>
      <c r="D892" s="39" t="s">
        <v>30</v>
      </c>
      <c r="E892" s="204"/>
      <c r="F892" s="204"/>
      <c r="G892" s="193"/>
      <c r="H892" s="89"/>
      <c r="I892" s="193"/>
      <c r="J892" s="15">
        <v>13715000</v>
      </c>
      <c r="K892" s="99">
        <v>38050000</v>
      </c>
      <c r="L892" s="13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53">
        <f t="shared" si="329"/>
        <v>56.215505913272011</v>
      </c>
      <c r="Z892" s="53">
        <f t="shared" si="330"/>
        <v>56.215505913272011</v>
      </c>
      <c r="AA892" s="53">
        <v>21390000</v>
      </c>
      <c r="AB892" s="19">
        <f t="shared" ref="AB892:AB898" si="332">AA892/K892*100</f>
        <v>56.215505913272011</v>
      </c>
      <c r="AC892" s="53">
        <f t="shared" si="331"/>
        <v>21390000</v>
      </c>
      <c r="AD892" s="19">
        <f t="shared" ref="AD892:AD898" si="333">AC892/K892*100</f>
        <v>56.215505913272011</v>
      </c>
    </row>
    <row r="893" spans="2:30">
      <c r="B893" s="13">
        <f t="shared" si="328"/>
        <v>3</v>
      </c>
      <c r="C893" s="17" t="s">
        <v>208</v>
      </c>
      <c r="D893" s="39" t="s">
        <v>32</v>
      </c>
      <c r="E893" s="204"/>
      <c r="F893" s="204"/>
      <c r="G893" s="193"/>
      <c r="H893" s="89"/>
      <c r="I893" s="193"/>
      <c r="J893" s="15">
        <v>35722000</v>
      </c>
      <c r="K893" s="99">
        <v>56195000</v>
      </c>
      <c r="L893" s="13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53">
        <f t="shared" si="329"/>
        <v>67.950723373965658</v>
      </c>
      <c r="Z893" s="53">
        <f t="shared" si="330"/>
        <v>67.950723373965658</v>
      </c>
      <c r="AA893" s="53">
        <v>38184909</v>
      </c>
      <c r="AB893" s="19">
        <f t="shared" si="332"/>
        <v>67.950723373965658</v>
      </c>
      <c r="AC893" s="53">
        <f t="shared" si="331"/>
        <v>38184909</v>
      </c>
      <c r="AD893" s="19">
        <f t="shared" si="333"/>
        <v>67.950723373965658</v>
      </c>
    </row>
    <row r="894" spans="2:30">
      <c r="B894" s="13">
        <f t="shared" si="328"/>
        <v>4</v>
      </c>
      <c r="C894" s="17" t="s">
        <v>209</v>
      </c>
      <c r="D894" s="39" t="s">
        <v>34</v>
      </c>
      <c r="E894" s="204"/>
      <c r="F894" s="204"/>
      <c r="G894" s="193"/>
      <c r="H894" s="89"/>
      <c r="I894" s="193"/>
      <c r="J894" s="15">
        <v>74375000</v>
      </c>
      <c r="K894" s="99">
        <v>71890000</v>
      </c>
      <c r="L894" s="13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53">
        <f t="shared" si="329"/>
        <v>78.421268604812909</v>
      </c>
      <c r="Z894" s="53">
        <f t="shared" si="330"/>
        <v>78.421268604812909</v>
      </c>
      <c r="AA894" s="53">
        <v>56377050</v>
      </c>
      <c r="AB894" s="19">
        <f t="shared" si="332"/>
        <v>78.421268604812909</v>
      </c>
      <c r="AC894" s="53">
        <f t="shared" si="331"/>
        <v>56377050</v>
      </c>
      <c r="AD894" s="19">
        <f t="shared" si="333"/>
        <v>78.421268604812909</v>
      </c>
    </row>
    <row r="895" spans="2:30" ht="27">
      <c r="B895" s="13">
        <f t="shared" si="328"/>
        <v>5</v>
      </c>
      <c r="C895" s="17" t="s">
        <v>1777</v>
      </c>
      <c r="D895" s="39" t="s">
        <v>1768</v>
      </c>
      <c r="E895" s="204"/>
      <c r="F895" s="204"/>
      <c r="G895" s="193"/>
      <c r="H895" s="89"/>
      <c r="I895" s="193"/>
      <c r="J895" s="15">
        <v>358089000</v>
      </c>
      <c r="K895" s="99">
        <v>423554000</v>
      </c>
      <c r="L895" s="13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53">
        <f t="shared" si="329"/>
        <v>89.151909791903748</v>
      </c>
      <c r="Z895" s="53">
        <f t="shared" si="330"/>
        <v>89.151909791903748</v>
      </c>
      <c r="AA895" s="53">
        <v>377606480</v>
      </c>
      <c r="AB895" s="19">
        <f t="shared" si="332"/>
        <v>89.151909791903748</v>
      </c>
      <c r="AC895" s="53">
        <f t="shared" si="331"/>
        <v>377606480</v>
      </c>
      <c r="AD895" s="19">
        <f t="shared" si="333"/>
        <v>89.151909791903748</v>
      </c>
    </row>
    <row r="896" spans="2:30">
      <c r="B896" s="45">
        <f t="shared" si="328"/>
        <v>6</v>
      </c>
      <c r="C896" s="44" t="s">
        <v>1778</v>
      </c>
      <c r="D896" s="78" t="s">
        <v>252</v>
      </c>
      <c r="E896" s="489"/>
      <c r="F896" s="489"/>
      <c r="G896" s="240"/>
      <c r="H896" s="186"/>
      <c r="I896" s="240"/>
      <c r="J896" s="15">
        <v>98288000</v>
      </c>
      <c r="K896" s="99">
        <v>98288000</v>
      </c>
      <c r="L896" s="45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55">
        <f t="shared" si="329"/>
        <v>46.723608171902981</v>
      </c>
      <c r="Z896" s="55">
        <f t="shared" si="330"/>
        <v>46.723608171902981</v>
      </c>
      <c r="AA896" s="55">
        <v>45923700</v>
      </c>
      <c r="AB896" s="19">
        <f t="shared" si="332"/>
        <v>46.723608171902981</v>
      </c>
      <c r="AC896" s="55">
        <f t="shared" si="331"/>
        <v>45923700</v>
      </c>
      <c r="AD896" s="19">
        <f t="shared" si="333"/>
        <v>46.723608171902981</v>
      </c>
    </row>
    <row r="897" spans="2:30">
      <c r="B897" s="45">
        <f t="shared" si="328"/>
        <v>7</v>
      </c>
      <c r="C897" s="17" t="s">
        <v>354</v>
      </c>
      <c r="D897" s="59" t="s">
        <v>1772</v>
      </c>
      <c r="E897" s="204"/>
      <c r="F897" s="204"/>
      <c r="G897" s="193"/>
      <c r="H897" s="89"/>
      <c r="I897" s="193"/>
      <c r="J897" s="15">
        <v>1948797000</v>
      </c>
      <c r="K897" s="99">
        <v>2212154000</v>
      </c>
      <c r="L897" s="13"/>
      <c r="M897" s="17"/>
      <c r="N897" s="17"/>
      <c r="O897" s="17"/>
      <c r="P897" s="17"/>
      <c r="Q897" s="17"/>
      <c r="R897" s="44"/>
      <c r="S897" s="44"/>
      <c r="T897" s="44"/>
      <c r="U897" s="44"/>
      <c r="V897" s="44"/>
      <c r="W897" s="44"/>
      <c r="X897" s="44"/>
      <c r="Y897" s="55">
        <f t="shared" si="329"/>
        <v>85.821574085710125</v>
      </c>
      <c r="Z897" s="55">
        <f t="shared" si="330"/>
        <v>85.821574085710125</v>
      </c>
      <c r="AA897" s="55">
        <v>1898505384</v>
      </c>
      <c r="AB897" s="19">
        <f t="shared" si="332"/>
        <v>85.821574085710125</v>
      </c>
      <c r="AC897" s="55">
        <f t="shared" si="331"/>
        <v>1898505384</v>
      </c>
      <c r="AD897" s="19">
        <f t="shared" si="333"/>
        <v>85.821574085710125</v>
      </c>
    </row>
    <row r="898" spans="2:30" ht="25.5">
      <c r="B898" s="45">
        <f t="shared" si="328"/>
        <v>8</v>
      </c>
      <c r="C898" s="33" t="s">
        <v>355</v>
      </c>
      <c r="D898" s="398" t="s">
        <v>1773</v>
      </c>
      <c r="E898" s="507"/>
      <c r="F898" s="489"/>
      <c r="G898" s="240"/>
      <c r="H898" s="186"/>
      <c r="I898" s="240"/>
      <c r="J898" s="15">
        <v>67923000</v>
      </c>
      <c r="K898" s="99">
        <v>62735000</v>
      </c>
      <c r="L898" s="32"/>
      <c r="M898" s="33"/>
      <c r="N898" s="33"/>
      <c r="O898" s="33"/>
      <c r="P898" s="33"/>
      <c r="Q898" s="33"/>
      <c r="R898" s="44"/>
      <c r="S898" s="44"/>
      <c r="T898" s="44"/>
      <c r="U898" s="44"/>
      <c r="V898" s="44"/>
      <c r="W898" s="44"/>
      <c r="X898" s="44"/>
      <c r="Y898" s="55">
        <f t="shared" si="329"/>
        <v>38.300789033235041</v>
      </c>
      <c r="Z898" s="55">
        <f t="shared" si="330"/>
        <v>38.300789033235041</v>
      </c>
      <c r="AA898" s="55">
        <v>24028000</v>
      </c>
      <c r="AB898" s="19">
        <f t="shared" si="332"/>
        <v>38.300789033235041</v>
      </c>
      <c r="AC898" s="55">
        <f t="shared" si="331"/>
        <v>24028000</v>
      </c>
      <c r="AD898" s="19">
        <f t="shared" si="333"/>
        <v>38.300789033235041</v>
      </c>
    </row>
    <row r="899" spans="2:30">
      <c r="B899" s="37">
        <v>105</v>
      </c>
      <c r="C899" s="855" t="s">
        <v>1803</v>
      </c>
      <c r="D899" s="855"/>
      <c r="E899" s="483"/>
      <c r="F899" s="483">
        <v>8</v>
      </c>
      <c r="G899" s="468"/>
      <c r="H899" s="526"/>
      <c r="I899" s="468"/>
      <c r="J899" s="35">
        <f>SUM(J891:J898)</f>
        <v>2649903000</v>
      </c>
      <c r="K899" s="35">
        <f>SUM(K891:K898)</f>
        <v>3029414000</v>
      </c>
      <c r="L899" s="37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82">
        <f>SUM(Y891:Y898)/8</f>
        <v>67.830005785326293</v>
      </c>
      <c r="Z899" s="82">
        <f>SUM(Z891:Z898)/8</f>
        <v>67.830005785326293</v>
      </c>
      <c r="AA899" s="35">
        <f>SUM(AA891:AA898)</f>
        <v>2515290303</v>
      </c>
      <c r="AB899" s="82">
        <f>SUM(AB891:AB898)/8</f>
        <v>67.830005785326293</v>
      </c>
      <c r="AC899" s="35">
        <f>SUM(AC891:AC898)</f>
        <v>2515290303</v>
      </c>
      <c r="AD899" s="82">
        <f>SUM(AD891:AD898)/8</f>
        <v>67.830005785326293</v>
      </c>
    </row>
    <row r="900" spans="2:30">
      <c r="B900" s="66"/>
      <c r="C900" s="63" t="s">
        <v>1804</v>
      </c>
      <c r="D900" s="118" t="s">
        <v>1805</v>
      </c>
      <c r="E900" s="484"/>
      <c r="F900" s="484"/>
      <c r="G900" s="472"/>
      <c r="H900" s="242"/>
      <c r="I900" s="472"/>
      <c r="J900" s="65"/>
      <c r="K900" s="65"/>
      <c r="L900" s="66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2:30">
      <c r="B901" s="13">
        <f t="shared" ref="B901:B908" si="334">B900+1</f>
        <v>1</v>
      </c>
      <c r="C901" s="17" t="s">
        <v>206</v>
      </c>
      <c r="D901" s="39" t="s">
        <v>28</v>
      </c>
      <c r="E901" s="204"/>
      <c r="F901" s="204"/>
      <c r="G901" s="193"/>
      <c r="H901" s="89"/>
      <c r="I901" s="193"/>
      <c r="J901" s="15">
        <v>27230000</v>
      </c>
      <c r="K901" s="99">
        <v>31393000</v>
      </c>
      <c r="L901" s="13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53">
        <f t="shared" ref="Y901:Y908" si="335">AB901</f>
        <v>89.035867868633133</v>
      </c>
      <c r="Z901" s="53">
        <f t="shared" ref="Z901:Z908" si="336">AD901</f>
        <v>89.035867868633133</v>
      </c>
      <c r="AA901" s="53">
        <v>27951030</v>
      </c>
      <c r="AB901" s="19">
        <f>AA901/K901*100</f>
        <v>89.035867868633133</v>
      </c>
      <c r="AC901" s="53">
        <f t="shared" ref="AC901:AC906" si="337">AA901</f>
        <v>27951030</v>
      </c>
      <c r="AD901" s="19">
        <f>AC901/K901*100</f>
        <v>89.035867868633133</v>
      </c>
    </row>
    <row r="902" spans="2:30">
      <c r="B902" s="13">
        <f t="shared" si="334"/>
        <v>2</v>
      </c>
      <c r="C902" s="17" t="s">
        <v>207</v>
      </c>
      <c r="D902" s="39" t="s">
        <v>30</v>
      </c>
      <c r="E902" s="204"/>
      <c r="F902" s="204"/>
      <c r="G902" s="193"/>
      <c r="H902" s="89"/>
      <c r="I902" s="193"/>
      <c r="J902" s="15">
        <v>6515000</v>
      </c>
      <c r="K902" s="99">
        <v>14415000</v>
      </c>
      <c r="L902" s="13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53">
        <f t="shared" si="335"/>
        <v>94.384321886923345</v>
      </c>
      <c r="Z902" s="53">
        <f t="shared" si="336"/>
        <v>94.384321886923345</v>
      </c>
      <c r="AA902" s="53">
        <v>13605500</v>
      </c>
      <c r="AB902" s="19">
        <f t="shared" ref="AB902:AB908" si="338">AA902/K902*100</f>
        <v>94.384321886923345</v>
      </c>
      <c r="AC902" s="53">
        <f t="shared" si="337"/>
        <v>13605500</v>
      </c>
      <c r="AD902" s="19">
        <f t="shared" ref="AD902:AD908" si="339">AC902/K902*100</f>
        <v>94.384321886923345</v>
      </c>
    </row>
    <row r="903" spans="2:30">
      <c r="B903" s="13">
        <f t="shared" si="334"/>
        <v>3</v>
      </c>
      <c r="C903" s="17" t="s">
        <v>208</v>
      </c>
      <c r="D903" s="39" t="s">
        <v>32</v>
      </c>
      <c r="E903" s="204"/>
      <c r="F903" s="204"/>
      <c r="G903" s="193"/>
      <c r="H903" s="89"/>
      <c r="I903" s="193"/>
      <c r="J903" s="15">
        <v>18405000</v>
      </c>
      <c r="K903" s="99">
        <v>30700000</v>
      </c>
      <c r="L903" s="13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53">
        <f t="shared" si="335"/>
        <v>95.892833876221488</v>
      </c>
      <c r="Z903" s="53">
        <f t="shared" si="336"/>
        <v>95.892833876221488</v>
      </c>
      <c r="AA903" s="53">
        <v>29439100</v>
      </c>
      <c r="AB903" s="19">
        <f t="shared" si="338"/>
        <v>95.892833876221488</v>
      </c>
      <c r="AC903" s="53">
        <f t="shared" si="337"/>
        <v>29439100</v>
      </c>
      <c r="AD903" s="19">
        <f t="shared" si="339"/>
        <v>95.892833876221488</v>
      </c>
    </row>
    <row r="904" spans="2:30">
      <c r="B904" s="13">
        <f t="shared" si="334"/>
        <v>4</v>
      </c>
      <c r="C904" s="17" t="s">
        <v>209</v>
      </c>
      <c r="D904" s="39" t="s">
        <v>34</v>
      </c>
      <c r="E904" s="204"/>
      <c r="F904" s="204"/>
      <c r="G904" s="193"/>
      <c r="H904" s="89"/>
      <c r="I904" s="193"/>
      <c r="J904" s="15">
        <v>30000000</v>
      </c>
      <c r="K904" s="99">
        <v>18200000</v>
      </c>
      <c r="L904" s="13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53">
        <f t="shared" si="335"/>
        <v>99.340659340659343</v>
      </c>
      <c r="Z904" s="53">
        <f t="shared" si="336"/>
        <v>99.340659340659343</v>
      </c>
      <c r="AA904" s="53">
        <f>7300000+5800000+2900000+1380000+700000</f>
        <v>18080000</v>
      </c>
      <c r="AB904" s="19">
        <f t="shared" si="338"/>
        <v>99.340659340659343</v>
      </c>
      <c r="AC904" s="53">
        <f t="shared" si="337"/>
        <v>18080000</v>
      </c>
      <c r="AD904" s="19">
        <f t="shared" si="339"/>
        <v>99.340659340659343</v>
      </c>
    </row>
    <row r="905" spans="2:30" ht="27">
      <c r="B905" s="13">
        <f t="shared" si="334"/>
        <v>5</v>
      </c>
      <c r="C905" s="17" t="s">
        <v>1777</v>
      </c>
      <c r="D905" s="39" t="s">
        <v>1768</v>
      </c>
      <c r="E905" s="204"/>
      <c r="F905" s="204"/>
      <c r="G905" s="193"/>
      <c r="H905" s="89"/>
      <c r="I905" s="193"/>
      <c r="J905" s="15">
        <v>82150000</v>
      </c>
      <c r="K905" s="99">
        <v>115908000</v>
      </c>
      <c r="L905" s="13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53">
        <f t="shared" si="335"/>
        <v>77.921713772992376</v>
      </c>
      <c r="Z905" s="53">
        <f t="shared" si="336"/>
        <v>77.921713772992376</v>
      </c>
      <c r="AA905" s="53">
        <v>90317500</v>
      </c>
      <c r="AB905" s="19">
        <f t="shared" si="338"/>
        <v>77.921713772992376</v>
      </c>
      <c r="AC905" s="53">
        <f t="shared" si="337"/>
        <v>90317500</v>
      </c>
      <c r="AD905" s="19">
        <f t="shared" si="339"/>
        <v>77.921713772992376</v>
      </c>
    </row>
    <row r="906" spans="2:30">
      <c r="B906" s="45">
        <f t="shared" si="334"/>
        <v>6</v>
      </c>
      <c r="C906" s="44" t="s">
        <v>1778</v>
      </c>
      <c r="D906" s="78" t="s">
        <v>252</v>
      </c>
      <c r="E906" s="489"/>
      <c r="F906" s="489"/>
      <c r="G906" s="240"/>
      <c r="H906" s="186"/>
      <c r="I906" s="240"/>
      <c r="J906" s="15">
        <v>45108000</v>
      </c>
      <c r="K906" s="99">
        <v>45108000</v>
      </c>
      <c r="L906" s="45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55">
        <f t="shared" si="335"/>
        <v>28.908397623481424</v>
      </c>
      <c r="Z906" s="55">
        <f t="shared" si="336"/>
        <v>28.908397623481424</v>
      </c>
      <c r="AA906" s="55">
        <v>13040000</v>
      </c>
      <c r="AB906" s="19">
        <f t="shared" si="338"/>
        <v>28.908397623481424</v>
      </c>
      <c r="AC906" s="55">
        <f t="shared" si="337"/>
        <v>13040000</v>
      </c>
      <c r="AD906" s="19">
        <f t="shared" si="339"/>
        <v>28.908397623481424</v>
      </c>
    </row>
    <row r="907" spans="2:30">
      <c r="B907" s="45">
        <f t="shared" si="334"/>
        <v>7</v>
      </c>
      <c r="C907" s="17" t="s">
        <v>354</v>
      </c>
      <c r="D907" s="59" t="s">
        <v>1772</v>
      </c>
      <c r="E907" s="204"/>
      <c r="F907" s="204"/>
      <c r="G907" s="193"/>
      <c r="H907" s="89"/>
      <c r="I907" s="193"/>
      <c r="J907" s="15">
        <v>1269217000</v>
      </c>
      <c r="K907" s="99">
        <v>1569425000</v>
      </c>
      <c r="L907" s="13"/>
      <c r="M907" s="17"/>
      <c r="N907" s="17"/>
      <c r="O907" s="17"/>
      <c r="P907" s="17"/>
      <c r="Q907" s="17"/>
      <c r="R907" s="44"/>
      <c r="S907" s="44"/>
      <c r="T907" s="44"/>
      <c r="U907" s="44"/>
      <c r="V907" s="44"/>
      <c r="W907" s="44"/>
      <c r="X907" s="44"/>
      <c r="Y907" s="55">
        <f t="shared" si="335"/>
        <v>79.821484301575424</v>
      </c>
      <c r="Z907" s="55">
        <f t="shared" si="336"/>
        <v>79.821484301575424</v>
      </c>
      <c r="AA907" s="73">
        <v>1252738330</v>
      </c>
      <c r="AB907" s="19">
        <f t="shared" si="338"/>
        <v>79.821484301575424</v>
      </c>
      <c r="AC907" s="53">
        <f>AA907</f>
        <v>1252738330</v>
      </c>
      <c r="AD907" s="19">
        <f t="shared" si="339"/>
        <v>79.821484301575424</v>
      </c>
    </row>
    <row r="908" spans="2:30" ht="25.5">
      <c r="B908" s="45">
        <f t="shared" si="334"/>
        <v>8</v>
      </c>
      <c r="C908" s="33" t="s">
        <v>355</v>
      </c>
      <c r="D908" s="398" t="s">
        <v>1773</v>
      </c>
      <c r="E908" s="507"/>
      <c r="F908" s="489"/>
      <c r="G908" s="240"/>
      <c r="H908" s="186"/>
      <c r="I908" s="240"/>
      <c r="J908" s="15">
        <v>87743000</v>
      </c>
      <c r="K908" s="99">
        <v>64971000</v>
      </c>
      <c r="L908" s="32"/>
      <c r="M908" s="33"/>
      <c r="N908" s="33"/>
      <c r="O908" s="33"/>
      <c r="P908" s="33"/>
      <c r="Q908" s="33"/>
      <c r="R908" s="44"/>
      <c r="S908" s="44"/>
      <c r="T908" s="44"/>
      <c r="U908" s="44"/>
      <c r="V908" s="44"/>
      <c r="W908" s="44"/>
      <c r="X908" s="44"/>
      <c r="Y908" s="55">
        <f t="shared" si="335"/>
        <v>9.7774391651659975</v>
      </c>
      <c r="Z908" s="55">
        <f t="shared" si="336"/>
        <v>0</v>
      </c>
      <c r="AA908" s="55">
        <v>6352500</v>
      </c>
      <c r="AB908" s="19">
        <f t="shared" si="338"/>
        <v>9.7774391651659975</v>
      </c>
      <c r="AC908" s="56"/>
      <c r="AD908" s="19">
        <f t="shared" si="339"/>
        <v>0</v>
      </c>
    </row>
    <row r="909" spans="2:30">
      <c r="B909" s="37">
        <v>106</v>
      </c>
      <c r="C909" s="855" t="s">
        <v>1806</v>
      </c>
      <c r="D909" s="855"/>
      <c r="E909" s="483"/>
      <c r="F909" s="483">
        <v>8</v>
      </c>
      <c r="G909" s="468"/>
      <c r="H909" s="526"/>
      <c r="I909" s="468"/>
      <c r="J909" s="35">
        <f>SUM(J901:J908)</f>
        <v>1566368000</v>
      </c>
      <c r="K909" s="35">
        <f>SUM(K901:K908)</f>
        <v>1890120000</v>
      </c>
      <c r="L909" s="37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82">
        <f>SUM(Y901:Y908)/8</f>
        <v>71.885339729456575</v>
      </c>
      <c r="Z909" s="82">
        <f>SUM(Z901:Z908)/8</f>
        <v>70.663159833810823</v>
      </c>
      <c r="AA909" s="35">
        <f>SUM(AA901:AA908)</f>
        <v>1451523960</v>
      </c>
      <c r="AB909" s="35">
        <f>SUM(AB901:AB908)/8</f>
        <v>71.885339729456575</v>
      </c>
      <c r="AC909" s="35">
        <f>SUM(AC901:AC908)</f>
        <v>1445171460</v>
      </c>
      <c r="AD909" s="35">
        <f>SUM(AD901:AD908)/8</f>
        <v>70.663159833810823</v>
      </c>
    </row>
    <row r="910" spans="2:30">
      <c r="B910" s="66"/>
      <c r="C910" s="63" t="s">
        <v>217</v>
      </c>
      <c r="D910" s="118" t="s">
        <v>1807</v>
      </c>
      <c r="E910" s="484"/>
      <c r="F910" s="484"/>
      <c r="G910" s="472"/>
      <c r="H910" s="242"/>
      <c r="I910" s="472"/>
      <c r="J910" s="65"/>
      <c r="K910" s="65"/>
      <c r="L910" s="66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2:30">
      <c r="B911" s="13">
        <f t="shared" ref="B911:B918" si="340">B910+1</f>
        <v>1</v>
      </c>
      <c r="C911" s="17" t="s">
        <v>206</v>
      </c>
      <c r="D911" s="39" t="s">
        <v>28</v>
      </c>
      <c r="E911" s="204"/>
      <c r="F911" s="204"/>
      <c r="G911" s="193"/>
      <c r="H911" s="89"/>
      <c r="I911" s="193"/>
      <c r="J911" s="15">
        <v>53183000</v>
      </c>
      <c r="K911" s="99">
        <v>70000000</v>
      </c>
      <c r="L911" s="400"/>
      <c r="M911" s="22"/>
      <c r="N911" s="400"/>
      <c r="O911" s="18"/>
      <c r="P911" s="158"/>
      <c r="Q911" s="401"/>
      <c r="R911" s="401"/>
      <c r="S911" s="401"/>
      <c r="T911" s="401"/>
      <c r="U911" s="401"/>
      <c r="V911" s="401"/>
      <c r="W911" s="401"/>
      <c r="X911" s="401"/>
      <c r="Y911" s="53">
        <f t="shared" ref="Y911:Y918" si="341">AB911</f>
        <v>97.098545714285706</v>
      </c>
      <c r="Z911" s="53">
        <f t="shared" ref="Z911:Z918" si="342">AD911</f>
        <v>97.098545714285706</v>
      </c>
      <c r="AA911" s="53">
        <f>17995100+1974500+1635000+4028000+400000+1305000+639909+13171844+3015879+700000+984000+8110750+10409000+3600000</f>
        <v>67968982</v>
      </c>
      <c r="AB911" s="19">
        <f>AA911/K911*100</f>
        <v>97.098545714285706</v>
      </c>
      <c r="AC911" s="53">
        <f t="shared" ref="AC911:AC918" si="343">AA911</f>
        <v>67968982</v>
      </c>
      <c r="AD911" s="19">
        <f>AC911/K911*100</f>
        <v>97.098545714285706</v>
      </c>
    </row>
    <row r="912" spans="2:30">
      <c r="B912" s="13">
        <f t="shared" si="340"/>
        <v>2</v>
      </c>
      <c r="C912" s="17" t="s">
        <v>207</v>
      </c>
      <c r="D912" s="39" t="s">
        <v>30</v>
      </c>
      <c r="E912" s="204"/>
      <c r="F912" s="204"/>
      <c r="G912" s="193"/>
      <c r="H912" s="89"/>
      <c r="I912" s="193"/>
      <c r="J912" s="15">
        <v>13900000</v>
      </c>
      <c r="K912" s="99">
        <v>12825000</v>
      </c>
      <c r="L912" s="13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53">
        <f t="shared" si="341"/>
        <v>94.651072124756325</v>
      </c>
      <c r="Z912" s="53">
        <f t="shared" si="342"/>
        <v>94.651072124756325</v>
      </c>
      <c r="AA912" s="53">
        <f>679000+10610000+850000</f>
        <v>12139000</v>
      </c>
      <c r="AB912" s="19">
        <f t="shared" ref="AB912:AB918" si="344">AA912/K912*100</f>
        <v>94.651072124756325</v>
      </c>
      <c r="AC912" s="53">
        <f t="shared" si="343"/>
        <v>12139000</v>
      </c>
      <c r="AD912" s="19">
        <f t="shared" ref="AD912:AD918" si="345">AC912/K912*100</f>
        <v>94.651072124756325</v>
      </c>
    </row>
    <row r="913" spans="2:30">
      <c r="B913" s="13">
        <f t="shared" si="340"/>
        <v>3</v>
      </c>
      <c r="C913" s="17" t="s">
        <v>208</v>
      </c>
      <c r="D913" s="39" t="s">
        <v>32</v>
      </c>
      <c r="E913" s="204"/>
      <c r="F913" s="204"/>
      <c r="G913" s="193"/>
      <c r="H913" s="89"/>
      <c r="I913" s="193"/>
      <c r="J913" s="15">
        <v>76488000</v>
      </c>
      <c r="K913" s="99">
        <v>66896000</v>
      </c>
      <c r="L913" s="13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53">
        <f t="shared" si="341"/>
        <v>58.950269074384124</v>
      </c>
      <c r="Z913" s="53">
        <f t="shared" si="342"/>
        <v>58.950269074384124</v>
      </c>
      <c r="AA913" s="53">
        <f>700000+984000+13463272+797600+13553000+7737500+2200000</f>
        <v>39435372</v>
      </c>
      <c r="AB913" s="19">
        <f t="shared" si="344"/>
        <v>58.950269074384124</v>
      </c>
      <c r="AC913" s="53">
        <f t="shared" si="343"/>
        <v>39435372</v>
      </c>
      <c r="AD913" s="19">
        <f t="shared" si="345"/>
        <v>58.950269074384124</v>
      </c>
    </row>
    <row r="914" spans="2:30">
      <c r="B914" s="13">
        <f t="shared" si="340"/>
        <v>4</v>
      </c>
      <c r="C914" s="17" t="s">
        <v>209</v>
      </c>
      <c r="D914" s="39" t="s">
        <v>34</v>
      </c>
      <c r="E914" s="204"/>
      <c r="F914" s="204"/>
      <c r="G914" s="193"/>
      <c r="H914" s="89"/>
      <c r="I914" s="193"/>
      <c r="J914" s="15">
        <v>39550000</v>
      </c>
      <c r="K914" s="99">
        <v>46958000</v>
      </c>
      <c r="L914" s="400"/>
      <c r="M914" s="22"/>
      <c r="N914" s="400"/>
      <c r="O914" s="18"/>
      <c r="P914" s="18"/>
      <c r="Q914" s="17"/>
      <c r="R914" s="17"/>
      <c r="S914" s="17"/>
      <c r="T914" s="17"/>
      <c r="U914" s="17"/>
      <c r="V914" s="17"/>
      <c r="W914" s="17"/>
      <c r="X914" s="17"/>
      <c r="Y914" s="53">
        <f t="shared" si="341"/>
        <v>69.445035989607746</v>
      </c>
      <c r="Z914" s="53">
        <f t="shared" si="342"/>
        <v>69.445035989607746</v>
      </c>
      <c r="AA914" s="53">
        <f>9360000+8050000+6500000+1700000+7000000</f>
        <v>32610000</v>
      </c>
      <c r="AB914" s="19">
        <f t="shared" si="344"/>
        <v>69.445035989607746</v>
      </c>
      <c r="AC914" s="53">
        <f t="shared" si="343"/>
        <v>32610000</v>
      </c>
      <c r="AD914" s="19">
        <f t="shared" si="345"/>
        <v>69.445035989607746</v>
      </c>
    </row>
    <row r="915" spans="2:30" ht="27">
      <c r="B915" s="13">
        <f t="shared" si="340"/>
        <v>5</v>
      </c>
      <c r="C915" s="17" t="s">
        <v>1777</v>
      </c>
      <c r="D915" s="39" t="s">
        <v>1768</v>
      </c>
      <c r="E915" s="204"/>
      <c r="F915" s="204"/>
      <c r="G915" s="193"/>
      <c r="H915" s="89"/>
      <c r="I915" s="193"/>
      <c r="J915" s="15">
        <v>273421000</v>
      </c>
      <c r="K915" s="99">
        <v>300930000</v>
      </c>
      <c r="L915" s="13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53">
        <f t="shared" si="341"/>
        <v>91.442501578440172</v>
      </c>
      <c r="Z915" s="53">
        <f t="shared" si="342"/>
        <v>91.442501578440172</v>
      </c>
      <c r="AA915" s="53">
        <f>30313157+57793763+5850000+3950000+9600000+85000000+82671000</f>
        <v>275177920</v>
      </c>
      <c r="AB915" s="19">
        <f t="shared" si="344"/>
        <v>91.442501578440172</v>
      </c>
      <c r="AC915" s="53">
        <f t="shared" si="343"/>
        <v>275177920</v>
      </c>
      <c r="AD915" s="19">
        <f t="shared" si="345"/>
        <v>91.442501578440172</v>
      </c>
    </row>
    <row r="916" spans="2:30">
      <c r="B916" s="45">
        <f t="shared" si="340"/>
        <v>6</v>
      </c>
      <c r="C916" s="44" t="s">
        <v>1778</v>
      </c>
      <c r="D916" s="78" t="s">
        <v>252</v>
      </c>
      <c r="E916" s="489"/>
      <c r="F916" s="489"/>
      <c r="G916" s="240"/>
      <c r="H916" s="186"/>
      <c r="I916" s="240"/>
      <c r="J916" s="15">
        <v>56755000</v>
      </c>
      <c r="K916" s="99">
        <v>56755000</v>
      </c>
      <c r="L916" s="45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55">
        <f t="shared" si="341"/>
        <v>93.912430622852611</v>
      </c>
      <c r="Z916" s="55">
        <f t="shared" si="342"/>
        <v>93.912430622852611</v>
      </c>
      <c r="AA916" s="55">
        <f>41480000+1500000+10320000</f>
        <v>53300000</v>
      </c>
      <c r="AB916" s="19">
        <f t="shared" si="344"/>
        <v>93.912430622852611</v>
      </c>
      <c r="AC916" s="55">
        <f t="shared" si="343"/>
        <v>53300000</v>
      </c>
      <c r="AD916" s="19">
        <f t="shared" si="345"/>
        <v>93.912430622852611</v>
      </c>
    </row>
    <row r="917" spans="2:30">
      <c r="B917" s="45">
        <f t="shared" si="340"/>
        <v>7</v>
      </c>
      <c r="C917" s="58" t="s">
        <v>354</v>
      </c>
      <c r="D917" s="59" t="s">
        <v>1772</v>
      </c>
      <c r="E917" s="204"/>
      <c r="F917" s="204"/>
      <c r="G917" s="193"/>
      <c r="H917" s="89"/>
      <c r="I917" s="193"/>
      <c r="J917" s="15">
        <v>1383155000</v>
      </c>
      <c r="K917" s="99">
        <v>1673575000</v>
      </c>
      <c r="L917" s="13"/>
      <c r="M917" s="17"/>
      <c r="N917" s="17"/>
      <c r="O917" s="17"/>
      <c r="P917" s="17"/>
      <c r="Q917" s="17"/>
      <c r="R917" s="44"/>
      <c r="S917" s="44"/>
      <c r="T917" s="44"/>
      <c r="U917" s="44"/>
      <c r="V917" s="44"/>
      <c r="W917" s="44"/>
      <c r="X917" s="44"/>
      <c r="Y917" s="55">
        <f t="shared" si="341"/>
        <v>74.722760318479899</v>
      </c>
      <c r="Z917" s="55">
        <f t="shared" si="342"/>
        <v>74.722760318479899</v>
      </c>
      <c r="AA917" s="55">
        <f>1182216800+4124636+64200000</f>
        <v>1250541436</v>
      </c>
      <c r="AB917" s="19">
        <f t="shared" si="344"/>
        <v>74.722760318479899</v>
      </c>
      <c r="AC917" s="55">
        <f t="shared" si="343"/>
        <v>1250541436</v>
      </c>
      <c r="AD917" s="19">
        <f t="shared" si="345"/>
        <v>74.722760318479899</v>
      </c>
    </row>
    <row r="918" spans="2:30" ht="25.5">
      <c r="B918" s="45">
        <f t="shared" si="340"/>
        <v>8</v>
      </c>
      <c r="C918" s="60" t="s">
        <v>355</v>
      </c>
      <c r="D918" s="398" t="s">
        <v>1773</v>
      </c>
      <c r="E918" s="507"/>
      <c r="F918" s="489"/>
      <c r="G918" s="240"/>
      <c r="H918" s="186"/>
      <c r="I918" s="240"/>
      <c r="J918" s="15">
        <v>56845000</v>
      </c>
      <c r="K918" s="99">
        <v>38975000</v>
      </c>
      <c r="L918" s="32"/>
      <c r="M918" s="33"/>
      <c r="N918" s="33"/>
      <c r="O918" s="33"/>
      <c r="P918" s="33"/>
      <c r="Q918" s="33"/>
      <c r="R918" s="44"/>
      <c r="S918" s="44"/>
      <c r="T918" s="44"/>
      <c r="U918" s="44"/>
      <c r="V918" s="44"/>
      <c r="W918" s="44"/>
      <c r="X918" s="44"/>
      <c r="Y918" s="55">
        <f t="shared" si="341"/>
        <v>87.735728030788962</v>
      </c>
      <c r="Z918" s="55">
        <f t="shared" si="342"/>
        <v>87.735728030788962</v>
      </c>
      <c r="AA918" s="55">
        <f>34195000</f>
        <v>34195000</v>
      </c>
      <c r="AB918" s="19">
        <f t="shared" si="344"/>
        <v>87.735728030788962</v>
      </c>
      <c r="AC918" s="55">
        <f t="shared" si="343"/>
        <v>34195000</v>
      </c>
      <c r="AD918" s="19">
        <f t="shared" si="345"/>
        <v>87.735728030788962</v>
      </c>
    </row>
    <row r="919" spans="2:30">
      <c r="B919" s="37">
        <v>107</v>
      </c>
      <c r="C919" s="855" t="s">
        <v>1808</v>
      </c>
      <c r="D919" s="855"/>
      <c r="E919" s="483"/>
      <c r="F919" s="483">
        <v>8</v>
      </c>
      <c r="G919" s="468"/>
      <c r="H919" s="526"/>
      <c r="I919" s="468"/>
      <c r="J919" s="35">
        <f>SUM(J911:J918)</f>
        <v>1953297000</v>
      </c>
      <c r="K919" s="35">
        <f>SUM(K911:K918)</f>
        <v>2266914000</v>
      </c>
      <c r="L919" s="37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82">
        <f>SUM(Y911:Y918)/8</f>
        <v>83.49479293169945</v>
      </c>
      <c r="Z919" s="82">
        <f>SUM(Z911:Z918)/8</f>
        <v>83.49479293169945</v>
      </c>
      <c r="AA919" s="35">
        <f>SUM(AA911:AA918)</f>
        <v>1765367710</v>
      </c>
      <c r="AB919" s="82">
        <f>SUM(AB911:AB918)/8</f>
        <v>83.49479293169945</v>
      </c>
      <c r="AC919" s="35">
        <f>SUM(AC911:AC918)</f>
        <v>1765367710</v>
      </c>
      <c r="AD919" s="82">
        <f>SUM(AD911:AD918)/8</f>
        <v>83.49479293169945</v>
      </c>
    </row>
    <row r="920" spans="2:30">
      <c r="B920" s="66"/>
      <c r="C920" s="63" t="s">
        <v>224</v>
      </c>
      <c r="D920" s="118" t="s">
        <v>1809</v>
      </c>
      <c r="E920" s="484"/>
      <c r="F920" s="484"/>
      <c r="G920" s="472"/>
      <c r="H920" s="242"/>
      <c r="I920" s="472"/>
      <c r="J920" s="65"/>
      <c r="K920" s="65"/>
      <c r="L920" s="66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2:30">
      <c r="B921" s="13">
        <f>B920+1</f>
        <v>1</v>
      </c>
      <c r="C921" s="17" t="s">
        <v>206</v>
      </c>
      <c r="D921" s="39" t="s">
        <v>28</v>
      </c>
      <c r="E921" s="204"/>
      <c r="F921" s="204"/>
      <c r="G921" s="193"/>
      <c r="H921" s="89"/>
      <c r="I921" s="193"/>
      <c r="J921" s="15">
        <v>26217000</v>
      </c>
      <c r="K921" s="99">
        <v>33681000</v>
      </c>
      <c r="L921" s="13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53">
        <f t="shared" ref="Y921:Y926" si="346">AB921</f>
        <v>78.272319705471929</v>
      </c>
      <c r="Z921" s="53">
        <f t="shared" ref="Z921:Z926" si="347">AD921</f>
        <v>78.272319705471929</v>
      </c>
      <c r="AA921" s="53">
        <v>26362900</v>
      </c>
      <c r="AB921" s="19">
        <f>AA921/K921*100</f>
        <v>78.272319705471929</v>
      </c>
      <c r="AC921" s="53">
        <f t="shared" ref="AC921:AC928" si="348">AA921</f>
        <v>26362900</v>
      </c>
      <c r="AD921" s="19">
        <f>AC921/K921*100</f>
        <v>78.272319705471929</v>
      </c>
    </row>
    <row r="922" spans="2:30">
      <c r="B922" s="157">
        <v>2</v>
      </c>
      <c r="C922" s="17" t="s">
        <v>207</v>
      </c>
      <c r="D922" s="39" t="s">
        <v>30</v>
      </c>
      <c r="E922" s="204"/>
      <c r="F922" s="204"/>
      <c r="G922" s="193"/>
      <c r="H922" s="89"/>
      <c r="I922" s="193"/>
      <c r="J922" s="15">
        <v>4400000</v>
      </c>
      <c r="K922" s="99">
        <v>0</v>
      </c>
      <c r="L922" s="13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53">
        <f t="shared" si="346"/>
        <v>0</v>
      </c>
      <c r="Z922" s="53">
        <f t="shared" si="347"/>
        <v>0</v>
      </c>
      <c r="AA922" s="53">
        <v>0</v>
      </c>
      <c r="AB922" s="19">
        <v>0</v>
      </c>
      <c r="AC922" s="53">
        <f t="shared" si="348"/>
        <v>0</v>
      </c>
      <c r="AD922" s="19">
        <v>0</v>
      </c>
    </row>
    <row r="923" spans="2:30">
      <c r="B923" s="13">
        <f>B922+1</f>
        <v>3</v>
      </c>
      <c r="C923" s="17" t="s">
        <v>208</v>
      </c>
      <c r="D923" s="39" t="s">
        <v>32</v>
      </c>
      <c r="E923" s="204"/>
      <c r="F923" s="204"/>
      <c r="G923" s="193"/>
      <c r="H923" s="89"/>
      <c r="I923" s="193"/>
      <c r="J923" s="15">
        <v>15378000</v>
      </c>
      <c r="K923" s="99">
        <v>36490000</v>
      </c>
      <c r="L923" s="13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53">
        <f t="shared" si="346"/>
        <v>71.044669772540431</v>
      </c>
      <c r="Z923" s="53">
        <f t="shared" si="347"/>
        <v>71.044669772540431</v>
      </c>
      <c r="AA923" s="53">
        <v>25924200</v>
      </c>
      <c r="AB923" s="19">
        <f t="shared" ref="AB923:AB928" si="349">AA923/K923*100</f>
        <v>71.044669772540431</v>
      </c>
      <c r="AC923" s="53">
        <f t="shared" si="348"/>
        <v>25924200</v>
      </c>
      <c r="AD923" s="19">
        <f t="shared" ref="AD923:AD928" si="350">AC923/K923*100</f>
        <v>71.044669772540431</v>
      </c>
    </row>
    <row r="924" spans="2:30">
      <c r="B924" s="157">
        <v>4</v>
      </c>
      <c r="C924" s="17" t="s">
        <v>209</v>
      </c>
      <c r="D924" s="39" t="s">
        <v>34</v>
      </c>
      <c r="E924" s="204"/>
      <c r="F924" s="204"/>
      <c r="G924" s="193"/>
      <c r="H924" s="89"/>
      <c r="I924" s="193"/>
      <c r="J924" s="15">
        <v>10500000</v>
      </c>
      <c r="K924" s="99">
        <v>27319000</v>
      </c>
      <c r="L924" s="13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53">
        <f t="shared" si="346"/>
        <v>89.904462095977152</v>
      </c>
      <c r="Z924" s="53">
        <f t="shared" si="347"/>
        <v>89.904462095977152</v>
      </c>
      <c r="AA924" s="53">
        <v>24561000</v>
      </c>
      <c r="AB924" s="19">
        <f t="shared" si="349"/>
        <v>89.904462095977152</v>
      </c>
      <c r="AC924" s="53">
        <f t="shared" si="348"/>
        <v>24561000</v>
      </c>
      <c r="AD924" s="19">
        <f t="shared" si="350"/>
        <v>89.904462095977152</v>
      </c>
    </row>
    <row r="925" spans="2:30" ht="27">
      <c r="B925" s="13">
        <f>B924+1</f>
        <v>5</v>
      </c>
      <c r="C925" s="17" t="s">
        <v>1777</v>
      </c>
      <c r="D925" s="39" t="s">
        <v>1768</v>
      </c>
      <c r="E925" s="204"/>
      <c r="F925" s="204"/>
      <c r="G925" s="193"/>
      <c r="H925" s="89"/>
      <c r="I925" s="193"/>
      <c r="J925" s="15">
        <v>109185000</v>
      </c>
      <c r="K925" s="99">
        <v>134513000</v>
      </c>
      <c r="L925" s="13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53">
        <f t="shared" si="346"/>
        <v>97.507489982380889</v>
      </c>
      <c r="Z925" s="53">
        <f t="shared" si="347"/>
        <v>97.507489982380889</v>
      </c>
      <c r="AA925" s="53">
        <v>131160250</v>
      </c>
      <c r="AB925" s="19">
        <f t="shared" si="349"/>
        <v>97.507489982380889</v>
      </c>
      <c r="AC925" s="53">
        <f t="shared" si="348"/>
        <v>131160250</v>
      </c>
      <c r="AD925" s="19">
        <f t="shared" si="350"/>
        <v>97.507489982380889</v>
      </c>
    </row>
    <row r="926" spans="2:30">
      <c r="B926" s="45">
        <f>B925+1</f>
        <v>6</v>
      </c>
      <c r="C926" s="44" t="s">
        <v>1778</v>
      </c>
      <c r="D926" s="78" t="s">
        <v>252</v>
      </c>
      <c r="E926" s="489"/>
      <c r="F926" s="489"/>
      <c r="G926" s="240"/>
      <c r="H926" s="186"/>
      <c r="I926" s="240"/>
      <c r="J926" s="15">
        <v>66033000</v>
      </c>
      <c r="K926" s="99">
        <v>66033000</v>
      </c>
      <c r="L926" s="45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55">
        <f t="shared" si="346"/>
        <v>90.862246149652449</v>
      </c>
      <c r="Z926" s="55">
        <f t="shared" si="347"/>
        <v>90.862246149652449</v>
      </c>
      <c r="AA926" s="55">
        <v>59999067</v>
      </c>
      <c r="AB926" s="19">
        <f t="shared" si="349"/>
        <v>90.862246149652449</v>
      </c>
      <c r="AC926" s="55">
        <f t="shared" si="348"/>
        <v>59999067</v>
      </c>
      <c r="AD926" s="19">
        <f t="shared" si="350"/>
        <v>90.862246149652449</v>
      </c>
    </row>
    <row r="927" spans="2:30">
      <c r="B927" s="45">
        <f>B926+1</f>
        <v>7</v>
      </c>
      <c r="C927" s="58" t="s">
        <v>354</v>
      </c>
      <c r="D927" s="59" t="s">
        <v>1772</v>
      </c>
      <c r="E927" s="204"/>
      <c r="F927" s="204"/>
      <c r="G927" s="193"/>
      <c r="H927" s="89"/>
      <c r="I927" s="193"/>
      <c r="J927" s="15">
        <v>1129536000</v>
      </c>
      <c r="K927" s="99">
        <v>1411565000</v>
      </c>
      <c r="L927" s="13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55">
        <f t="shared" ref="Y927:Y928" si="351">AB927</f>
        <v>83.104600921672045</v>
      </c>
      <c r="Z927" s="55">
        <f t="shared" ref="Z927:Z928" si="352">AD927</f>
        <v>83.104600921672045</v>
      </c>
      <c r="AA927" s="53">
        <v>1173075460</v>
      </c>
      <c r="AB927" s="19">
        <f t="shared" si="349"/>
        <v>83.104600921672045</v>
      </c>
      <c r="AC927" s="53">
        <f t="shared" si="348"/>
        <v>1173075460</v>
      </c>
      <c r="AD927" s="19">
        <f t="shared" si="350"/>
        <v>83.104600921672045</v>
      </c>
    </row>
    <row r="928" spans="2:30" ht="25.5">
      <c r="B928" s="45">
        <f>B927+1</f>
        <v>8</v>
      </c>
      <c r="C928" s="60" t="s">
        <v>355</v>
      </c>
      <c r="D928" s="398" t="s">
        <v>1773</v>
      </c>
      <c r="E928" s="507"/>
      <c r="F928" s="489"/>
      <c r="G928" s="240"/>
      <c r="H928" s="186"/>
      <c r="I928" s="240"/>
      <c r="J928" s="15">
        <v>41904000</v>
      </c>
      <c r="K928" s="99">
        <v>40940000</v>
      </c>
      <c r="L928" s="32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55">
        <f t="shared" si="351"/>
        <v>28.467420615534927</v>
      </c>
      <c r="Z928" s="55">
        <f t="shared" si="352"/>
        <v>28.467420615534927</v>
      </c>
      <c r="AA928" s="56">
        <v>11654562</v>
      </c>
      <c r="AB928" s="19">
        <f t="shared" si="349"/>
        <v>28.467420615534927</v>
      </c>
      <c r="AC928" s="56">
        <f t="shared" si="348"/>
        <v>11654562</v>
      </c>
      <c r="AD928" s="19">
        <f t="shared" si="350"/>
        <v>28.467420615534927</v>
      </c>
    </row>
    <row r="929" spans="2:30">
      <c r="B929" s="37">
        <v>108</v>
      </c>
      <c r="C929" s="855" t="s">
        <v>1810</v>
      </c>
      <c r="D929" s="855"/>
      <c r="E929" s="483"/>
      <c r="F929" s="483">
        <v>7</v>
      </c>
      <c r="G929" s="468"/>
      <c r="H929" s="526"/>
      <c r="I929" s="468"/>
      <c r="J929" s="35">
        <f>SUM(J921:J928)</f>
        <v>1403153000</v>
      </c>
      <c r="K929" s="35">
        <f>SUM(K921:K928)</f>
        <v>1750541000</v>
      </c>
      <c r="L929" s="37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82">
        <f>SUM(Y921:Y928)/8</f>
        <v>67.395401155403718</v>
      </c>
      <c r="Z929" s="82">
        <f>SUM(Z921:Z928)/8</f>
        <v>67.395401155403718</v>
      </c>
      <c r="AA929" s="35">
        <f>SUM(AA921:AA928)</f>
        <v>1452737439</v>
      </c>
      <c r="AB929" s="82">
        <f>SUM(AB921:AB928)/8</f>
        <v>67.395401155403718</v>
      </c>
      <c r="AC929" s="35">
        <f>SUM(AC921:AC928)</f>
        <v>1452737439</v>
      </c>
      <c r="AD929" s="82">
        <f>SUM(AD921:AD928)/8</f>
        <v>67.395401155403718</v>
      </c>
    </row>
    <row r="930" spans="2:30">
      <c r="B930" s="106"/>
      <c r="C930" s="63" t="s">
        <v>236</v>
      </c>
      <c r="D930" s="118" t="s">
        <v>1811</v>
      </c>
      <c r="E930" s="484"/>
      <c r="F930" s="484"/>
      <c r="G930" s="472"/>
      <c r="H930" s="242"/>
      <c r="I930" s="472"/>
      <c r="J930" s="65"/>
      <c r="K930" s="65"/>
      <c r="L930" s="66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2:30">
      <c r="B931" s="13">
        <f>B930+1</f>
        <v>1</v>
      </c>
      <c r="C931" s="17" t="s">
        <v>206</v>
      </c>
      <c r="D931" s="39" t="s">
        <v>28</v>
      </c>
      <c r="E931" s="204"/>
      <c r="F931" s="204"/>
      <c r="G931" s="193"/>
      <c r="H931" s="89"/>
      <c r="I931" s="193"/>
      <c r="J931" s="15">
        <v>72678000</v>
      </c>
      <c r="K931" s="99">
        <v>89072000</v>
      </c>
      <c r="L931" s="13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14">
        <f>AB931</f>
        <v>77.386963355487694</v>
      </c>
      <c r="Z931" s="98">
        <f t="shared" ref="Z931:Z938" si="353">AB931</f>
        <v>77.386963355487694</v>
      </c>
      <c r="AA931" s="402">
        <v>68930116</v>
      </c>
      <c r="AB931" s="98">
        <f>AA931/K931*100</f>
        <v>77.386963355487694</v>
      </c>
      <c r="AC931" s="402">
        <f t="shared" ref="AC931:AC938" si="354">AA931</f>
        <v>68930116</v>
      </c>
      <c r="AD931" s="98">
        <f>AC931/K931*100</f>
        <v>77.386963355487694</v>
      </c>
    </row>
    <row r="932" spans="2:30">
      <c r="B932" s="157">
        <v>2</v>
      </c>
      <c r="C932" s="17" t="s">
        <v>207</v>
      </c>
      <c r="D932" s="39" t="s">
        <v>30</v>
      </c>
      <c r="E932" s="204"/>
      <c r="F932" s="204"/>
      <c r="G932" s="193"/>
      <c r="H932" s="89"/>
      <c r="I932" s="193"/>
      <c r="J932" s="15">
        <v>24510000</v>
      </c>
      <c r="K932" s="99">
        <v>37690000</v>
      </c>
      <c r="L932" s="13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14">
        <f>AB932</f>
        <v>87.499336694083311</v>
      </c>
      <c r="Z932" s="98">
        <f t="shared" si="353"/>
        <v>87.499336694083311</v>
      </c>
      <c r="AA932" s="402">
        <v>32978500</v>
      </c>
      <c r="AB932" s="98">
        <f t="shared" ref="AB932:AB938" si="355">AA932/K932*100</f>
        <v>87.499336694083311</v>
      </c>
      <c r="AC932" s="402">
        <f t="shared" si="354"/>
        <v>32978500</v>
      </c>
      <c r="AD932" s="98">
        <f t="shared" ref="AD932:AD938" si="356">AC932/K932*100</f>
        <v>87.499336694083311</v>
      </c>
    </row>
    <row r="933" spans="2:30">
      <c r="B933" s="13">
        <f>B932+1</f>
        <v>3</v>
      </c>
      <c r="C933" s="17" t="s">
        <v>208</v>
      </c>
      <c r="D933" s="39" t="s">
        <v>32</v>
      </c>
      <c r="E933" s="204"/>
      <c r="F933" s="204"/>
      <c r="G933" s="193"/>
      <c r="H933" s="89"/>
      <c r="I933" s="193"/>
      <c r="J933" s="15">
        <v>71964000</v>
      </c>
      <c r="K933" s="99">
        <v>114425000</v>
      </c>
      <c r="L933" s="13"/>
      <c r="M933" s="17"/>
      <c r="N933" s="17" t="s">
        <v>1</v>
      </c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14">
        <f t="shared" ref="Y933:Y934" si="357">AB933</f>
        <v>59.766149005899059</v>
      </c>
      <c r="Z933" s="98">
        <f t="shared" si="353"/>
        <v>59.766149005899059</v>
      </c>
      <c r="AA933" s="402">
        <v>68387416</v>
      </c>
      <c r="AB933" s="98">
        <f t="shared" si="355"/>
        <v>59.766149005899059</v>
      </c>
      <c r="AC933" s="402">
        <f t="shared" si="354"/>
        <v>68387416</v>
      </c>
      <c r="AD933" s="98">
        <f t="shared" si="356"/>
        <v>59.766149005899059</v>
      </c>
    </row>
    <row r="934" spans="2:30">
      <c r="B934" s="157">
        <v>4</v>
      </c>
      <c r="C934" s="17" t="s">
        <v>209</v>
      </c>
      <c r="D934" s="39" t="s">
        <v>34</v>
      </c>
      <c r="E934" s="204"/>
      <c r="F934" s="204"/>
      <c r="G934" s="193"/>
      <c r="H934" s="89"/>
      <c r="I934" s="193"/>
      <c r="J934" s="15">
        <v>47865000</v>
      </c>
      <c r="K934" s="99">
        <v>86015000</v>
      </c>
      <c r="L934" s="13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14">
        <f t="shared" si="357"/>
        <v>49.722141486949951</v>
      </c>
      <c r="Z934" s="98">
        <f t="shared" si="353"/>
        <v>49.722141486949951</v>
      </c>
      <c r="AA934" s="402">
        <v>42768500</v>
      </c>
      <c r="AB934" s="98">
        <f t="shared" si="355"/>
        <v>49.722141486949951</v>
      </c>
      <c r="AC934" s="402">
        <f t="shared" si="354"/>
        <v>42768500</v>
      </c>
      <c r="AD934" s="98">
        <f t="shared" si="356"/>
        <v>49.722141486949951</v>
      </c>
    </row>
    <row r="935" spans="2:30" ht="27">
      <c r="B935" s="13">
        <v>5</v>
      </c>
      <c r="C935" s="17" t="s">
        <v>1777</v>
      </c>
      <c r="D935" s="39" t="s">
        <v>1768</v>
      </c>
      <c r="E935" s="489"/>
      <c r="F935" s="489"/>
      <c r="G935" s="240"/>
      <c r="H935" s="186"/>
      <c r="I935" s="240"/>
      <c r="J935" s="15">
        <v>273483000</v>
      </c>
      <c r="K935" s="99">
        <v>269118000</v>
      </c>
      <c r="L935" s="45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115">
        <v>100</v>
      </c>
      <c r="Z935" s="101">
        <f t="shared" si="353"/>
        <v>103.10014566101115</v>
      </c>
      <c r="AA935" s="403">
        <v>277461050</v>
      </c>
      <c r="AB935" s="98">
        <f t="shared" si="355"/>
        <v>103.10014566101115</v>
      </c>
      <c r="AC935" s="403">
        <f t="shared" si="354"/>
        <v>277461050</v>
      </c>
      <c r="AD935" s="98">
        <f t="shared" si="356"/>
        <v>103.10014566101115</v>
      </c>
    </row>
    <row r="936" spans="2:30">
      <c r="B936" s="13">
        <v>6</v>
      </c>
      <c r="C936" s="58" t="s">
        <v>251</v>
      </c>
      <c r="D936" s="317" t="s">
        <v>252</v>
      </c>
      <c r="E936" s="489"/>
      <c r="F936" s="489"/>
      <c r="G936" s="240"/>
      <c r="H936" s="186"/>
      <c r="I936" s="240"/>
      <c r="J936" s="15">
        <v>154437000</v>
      </c>
      <c r="K936" s="99">
        <v>154437000</v>
      </c>
      <c r="L936" s="45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115">
        <f>AB936</f>
        <v>60.972807682096906</v>
      </c>
      <c r="Z936" s="101">
        <f t="shared" si="353"/>
        <v>60.972807682096906</v>
      </c>
      <c r="AA936" s="403">
        <v>94164575</v>
      </c>
      <c r="AB936" s="98">
        <f t="shared" si="355"/>
        <v>60.972807682096906</v>
      </c>
      <c r="AC936" s="403">
        <f t="shared" si="354"/>
        <v>94164575</v>
      </c>
      <c r="AD936" s="98">
        <f t="shared" si="356"/>
        <v>60.972807682096906</v>
      </c>
    </row>
    <row r="937" spans="2:30">
      <c r="B937" s="13">
        <v>7</v>
      </c>
      <c r="C937" s="58" t="s">
        <v>354</v>
      </c>
      <c r="D937" s="59" t="s">
        <v>1772</v>
      </c>
      <c r="E937" s="204"/>
      <c r="F937" s="204"/>
      <c r="G937" s="193"/>
      <c r="H937" s="89"/>
      <c r="I937" s="193"/>
      <c r="J937" s="15">
        <v>1775886000</v>
      </c>
      <c r="K937" s="99">
        <v>2401761000</v>
      </c>
      <c r="L937" s="13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15">
        <f>AB937</f>
        <v>87.644562052593912</v>
      </c>
      <c r="Z937" s="101">
        <f t="shared" si="353"/>
        <v>87.644562052593912</v>
      </c>
      <c r="AA937" s="402">
        <v>2105012910</v>
      </c>
      <c r="AB937" s="98">
        <f t="shared" si="355"/>
        <v>87.644562052593912</v>
      </c>
      <c r="AC937" s="402">
        <f t="shared" si="354"/>
        <v>2105012910</v>
      </c>
      <c r="AD937" s="98">
        <f t="shared" si="356"/>
        <v>87.644562052593912</v>
      </c>
    </row>
    <row r="938" spans="2:30" ht="25.5">
      <c r="B938" s="13">
        <v>8</v>
      </c>
      <c r="C938" s="60" t="s">
        <v>355</v>
      </c>
      <c r="D938" s="398" t="s">
        <v>1773</v>
      </c>
      <c r="E938" s="507"/>
      <c r="F938" s="489"/>
      <c r="G938" s="240"/>
      <c r="H938" s="186"/>
      <c r="I938" s="240"/>
      <c r="J938" s="15">
        <v>125034000</v>
      </c>
      <c r="K938" s="99">
        <v>176577000</v>
      </c>
      <c r="L938" s="32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115">
        <f>AB938</f>
        <v>46.331607174207285</v>
      </c>
      <c r="Z938" s="101">
        <f t="shared" si="353"/>
        <v>46.331607174207285</v>
      </c>
      <c r="AA938" s="404">
        <v>81810962</v>
      </c>
      <c r="AB938" s="98">
        <f t="shared" si="355"/>
        <v>46.331607174207285</v>
      </c>
      <c r="AC938" s="404">
        <f t="shared" si="354"/>
        <v>81810962</v>
      </c>
      <c r="AD938" s="98">
        <f t="shared" si="356"/>
        <v>46.331607174207285</v>
      </c>
    </row>
    <row r="939" spans="2:30">
      <c r="B939" s="37">
        <v>109</v>
      </c>
      <c r="C939" s="855" t="s">
        <v>1812</v>
      </c>
      <c r="D939" s="855"/>
      <c r="E939" s="483"/>
      <c r="F939" s="483">
        <v>8</v>
      </c>
      <c r="G939" s="468"/>
      <c r="H939" s="526"/>
      <c r="I939" s="468"/>
      <c r="J939" s="35">
        <f>SUM(J931:J938)</f>
        <v>2545857000</v>
      </c>
      <c r="K939" s="35">
        <f>SUM(K931:K938)</f>
        <v>3329095000</v>
      </c>
      <c r="L939" s="37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82">
        <f>SUM(Y931:Y938)/8</f>
        <v>71.165445931414766</v>
      </c>
      <c r="Z939" s="82">
        <f>SUM(Z931:Z938)/8</f>
        <v>71.552964139041151</v>
      </c>
      <c r="AA939" s="35">
        <f>SUM(AA931:AA938)</f>
        <v>2771514029</v>
      </c>
      <c r="AB939" s="82">
        <f>SUM(AB931:AB938)/8</f>
        <v>71.552964139041151</v>
      </c>
      <c r="AC939" s="35">
        <f>SUM(AC931:AC938)</f>
        <v>2771514029</v>
      </c>
      <c r="AD939" s="82">
        <f>SUM(AD931:AD938)/8</f>
        <v>71.552964139041151</v>
      </c>
    </row>
    <row r="940" spans="2:30">
      <c r="B940" s="66"/>
      <c r="C940" s="63" t="s">
        <v>249</v>
      </c>
      <c r="D940" s="118" t="s">
        <v>1813</v>
      </c>
      <c r="E940" s="484"/>
      <c r="F940" s="484"/>
      <c r="G940" s="472"/>
      <c r="H940" s="242"/>
      <c r="I940" s="472"/>
      <c r="J940" s="65"/>
      <c r="K940" s="65"/>
      <c r="L940" s="66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2:30">
      <c r="B941" s="13">
        <f t="shared" ref="B941:B948" si="358">B940+1</f>
        <v>1</v>
      </c>
      <c r="C941" s="17" t="s">
        <v>206</v>
      </c>
      <c r="D941" s="39" t="s">
        <v>28</v>
      </c>
      <c r="E941" s="204"/>
      <c r="F941" s="204"/>
      <c r="G941" s="193"/>
      <c r="H941" s="89"/>
      <c r="I941" s="193"/>
      <c r="J941" s="15">
        <v>43689000</v>
      </c>
      <c r="K941" s="99">
        <v>52996000</v>
      </c>
      <c r="L941" s="13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53">
        <f t="shared" ref="Y941:Y948" si="359">AB941</f>
        <v>96.251128387048084</v>
      </c>
      <c r="Z941" s="53">
        <f t="shared" ref="Z941:Z946" si="360">AD941</f>
        <v>96.251128387048084</v>
      </c>
      <c r="AA941" s="53">
        <v>51009248</v>
      </c>
      <c r="AB941" s="19">
        <f>AA941/K941*100</f>
        <v>96.251128387048084</v>
      </c>
      <c r="AC941" s="53">
        <f t="shared" ref="AC941:AC946" si="361">AA941</f>
        <v>51009248</v>
      </c>
      <c r="AD941" s="19">
        <f>AC941/K941*100</f>
        <v>96.251128387048084</v>
      </c>
    </row>
    <row r="942" spans="2:30">
      <c r="B942" s="13">
        <f t="shared" si="358"/>
        <v>2</v>
      </c>
      <c r="C942" s="17" t="s">
        <v>207</v>
      </c>
      <c r="D942" s="39" t="s">
        <v>30</v>
      </c>
      <c r="E942" s="204"/>
      <c r="F942" s="204"/>
      <c r="G942" s="193"/>
      <c r="H942" s="89"/>
      <c r="I942" s="193"/>
      <c r="J942" s="15">
        <v>13230000</v>
      </c>
      <c r="K942" s="99">
        <v>17330000</v>
      </c>
      <c r="L942" s="13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53">
        <f t="shared" si="359"/>
        <v>65.43566070398154</v>
      </c>
      <c r="Z942" s="53">
        <f t="shared" si="360"/>
        <v>65.43566070398154</v>
      </c>
      <c r="AA942" s="53">
        <v>11340000</v>
      </c>
      <c r="AB942" s="19">
        <f t="shared" ref="AB942:AB948" si="362">AA942/K942*100</f>
        <v>65.43566070398154</v>
      </c>
      <c r="AC942" s="53">
        <f t="shared" si="361"/>
        <v>11340000</v>
      </c>
      <c r="AD942" s="19">
        <f t="shared" ref="AD942:AD948" si="363">AC942/K942*100</f>
        <v>65.43566070398154</v>
      </c>
    </row>
    <row r="943" spans="2:30">
      <c r="B943" s="13">
        <f t="shared" si="358"/>
        <v>3</v>
      </c>
      <c r="C943" s="17" t="s">
        <v>208</v>
      </c>
      <c r="D943" s="39" t="s">
        <v>32</v>
      </c>
      <c r="E943" s="204"/>
      <c r="F943" s="204"/>
      <c r="G943" s="193"/>
      <c r="H943" s="89"/>
      <c r="I943" s="193"/>
      <c r="J943" s="15">
        <v>36045000</v>
      </c>
      <c r="K943" s="99">
        <v>52199000</v>
      </c>
      <c r="L943" s="13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53">
        <f t="shared" si="359"/>
        <v>99.818004176325218</v>
      </c>
      <c r="Z943" s="53">
        <f t="shared" si="360"/>
        <v>99.818004176325218</v>
      </c>
      <c r="AA943" s="53">
        <v>52104000</v>
      </c>
      <c r="AB943" s="19">
        <f t="shared" si="362"/>
        <v>99.818004176325218</v>
      </c>
      <c r="AC943" s="53">
        <f t="shared" si="361"/>
        <v>52104000</v>
      </c>
      <c r="AD943" s="19">
        <f t="shared" si="363"/>
        <v>99.818004176325218</v>
      </c>
    </row>
    <row r="944" spans="2:30">
      <c r="B944" s="13">
        <f t="shared" si="358"/>
        <v>4</v>
      </c>
      <c r="C944" s="17" t="s">
        <v>209</v>
      </c>
      <c r="D944" s="39" t="s">
        <v>34</v>
      </c>
      <c r="E944" s="204"/>
      <c r="F944" s="204"/>
      <c r="G944" s="193"/>
      <c r="H944" s="89"/>
      <c r="I944" s="193"/>
      <c r="J944" s="15">
        <v>158760000</v>
      </c>
      <c r="K944" s="99">
        <v>210197000</v>
      </c>
      <c r="L944" s="13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53">
        <f t="shared" si="359"/>
        <v>97.686479826067924</v>
      </c>
      <c r="Z944" s="53">
        <f t="shared" si="360"/>
        <v>97.686479826067924</v>
      </c>
      <c r="AA944" s="53">
        <v>205334050</v>
      </c>
      <c r="AB944" s="19">
        <f t="shared" si="362"/>
        <v>97.686479826067924</v>
      </c>
      <c r="AC944" s="53">
        <f t="shared" si="361"/>
        <v>205334050</v>
      </c>
      <c r="AD944" s="19">
        <f t="shared" si="363"/>
        <v>97.686479826067924</v>
      </c>
    </row>
    <row r="945" spans="2:30" ht="27">
      <c r="B945" s="13">
        <f t="shared" si="358"/>
        <v>5</v>
      </c>
      <c r="C945" s="17" t="s">
        <v>1777</v>
      </c>
      <c r="D945" s="39" t="s">
        <v>1768</v>
      </c>
      <c r="E945" s="204"/>
      <c r="F945" s="204"/>
      <c r="G945" s="193"/>
      <c r="H945" s="89"/>
      <c r="I945" s="193"/>
      <c r="J945" s="15">
        <v>417812000</v>
      </c>
      <c r="K945" s="99">
        <v>515863000</v>
      </c>
      <c r="L945" s="13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53">
        <f t="shared" si="359"/>
        <v>93.927979909394537</v>
      </c>
      <c r="Z945" s="53">
        <f t="shared" si="360"/>
        <v>93.927979909394537</v>
      </c>
      <c r="AA945" s="53">
        <v>484539695</v>
      </c>
      <c r="AB945" s="19">
        <f t="shared" si="362"/>
        <v>93.927979909394537</v>
      </c>
      <c r="AC945" s="53">
        <f t="shared" si="361"/>
        <v>484539695</v>
      </c>
      <c r="AD945" s="19">
        <f t="shared" si="363"/>
        <v>93.927979909394537</v>
      </c>
    </row>
    <row r="946" spans="2:30">
      <c r="B946" s="45">
        <f t="shared" si="358"/>
        <v>6</v>
      </c>
      <c r="C946" s="17" t="s">
        <v>1778</v>
      </c>
      <c r="D946" s="39" t="s">
        <v>252</v>
      </c>
      <c r="E946" s="489"/>
      <c r="F946" s="489"/>
      <c r="G946" s="240"/>
      <c r="H946" s="186"/>
      <c r="I946" s="240"/>
      <c r="J946" s="15">
        <v>64955000</v>
      </c>
      <c r="K946" s="99">
        <v>64955000</v>
      </c>
      <c r="L946" s="45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55">
        <f t="shared" si="359"/>
        <v>40.778608267261951</v>
      </c>
      <c r="Z946" s="55">
        <f t="shared" si="360"/>
        <v>40.778608267261951</v>
      </c>
      <c r="AA946" s="55">
        <v>26487745</v>
      </c>
      <c r="AB946" s="19">
        <f t="shared" si="362"/>
        <v>40.778608267261951</v>
      </c>
      <c r="AC946" s="55">
        <f t="shared" si="361"/>
        <v>26487745</v>
      </c>
      <c r="AD946" s="19">
        <f t="shared" si="363"/>
        <v>40.778608267261951</v>
      </c>
    </row>
    <row r="947" spans="2:30">
      <c r="B947" s="45">
        <f t="shared" si="358"/>
        <v>7</v>
      </c>
      <c r="C947" s="58" t="s">
        <v>354</v>
      </c>
      <c r="D947" s="59" t="s">
        <v>1772</v>
      </c>
      <c r="E947" s="204"/>
      <c r="F947" s="204"/>
      <c r="G947" s="193"/>
      <c r="H947" s="89"/>
      <c r="I947" s="193"/>
      <c r="J947" s="15">
        <v>1563130000</v>
      </c>
      <c r="K947" s="99">
        <v>1729013000</v>
      </c>
      <c r="L947" s="13"/>
      <c r="M947" s="17"/>
      <c r="N947" s="17"/>
      <c r="O947" s="17"/>
      <c r="P947" s="17"/>
      <c r="Q947" s="17"/>
      <c r="R947" s="44"/>
      <c r="S947" s="44"/>
      <c r="T947" s="44"/>
      <c r="U947" s="44"/>
      <c r="V947" s="44"/>
      <c r="W947" s="44"/>
      <c r="X947" s="44"/>
      <c r="Y947" s="55">
        <f t="shared" si="359"/>
        <v>3.2334054168476465</v>
      </c>
      <c r="Z947" s="55">
        <f>AD947</f>
        <v>3.2334054168476465</v>
      </c>
      <c r="AA947" s="73">
        <v>55906000</v>
      </c>
      <c r="AB947" s="19">
        <f t="shared" si="362"/>
        <v>3.2334054168476465</v>
      </c>
      <c r="AC947" s="22">
        <f>AA947</f>
        <v>55906000</v>
      </c>
      <c r="AD947" s="19">
        <f t="shared" si="363"/>
        <v>3.2334054168476465</v>
      </c>
    </row>
    <row r="948" spans="2:30" ht="25.5">
      <c r="B948" s="45">
        <f t="shared" si="358"/>
        <v>8</v>
      </c>
      <c r="C948" s="60" t="s">
        <v>355</v>
      </c>
      <c r="D948" s="398" t="s">
        <v>1773</v>
      </c>
      <c r="E948" s="507"/>
      <c r="F948" s="489"/>
      <c r="G948" s="240"/>
      <c r="H948" s="186"/>
      <c r="I948" s="240"/>
      <c r="J948" s="15">
        <v>116870000</v>
      </c>
      <c r="K948" s="99">
        <v>39420000</v>
      </c>
      <c r="L948" s="32"/>
      <c r="M948" s="33"/>
      <c r="N948" s="33"/>
      <c r="O948" s="33"/>
      <c r="P948" s="33"/>
      <c r="Q948" s="33"/>
      <c r="R948" s="44"/>
      <c r="S948" s="44"/>
      <c r="T948" s="44"/>
      <c r="U948" s="44"/>
      <c r="V948" s="44"/>
      <c r="W948" s="44"/>
      <c r="X948" s="44"/>
      <c r="Y948" s="55">
        <f t="shared" si="359"/>
        <v>75.887874175545406</v>
      </c>
      <c r="Z948" s="55">
        <f>AD948</f>
        <v>75.887874175545406</v>
      </c>
      <c r="AA948" s="55">
        <v>29915000</v>
      </c>
      <c r="AB948" s="19">
        <f t="shared" si="362"/>
        <v>75.887874175545406</v>
      </c>
      <c r="AC948" s="22">
        <f>AA948</f>
        <v>29915000</v>
      </c>
      <c r="AD948" s="19">
        <f t="shared" si="363"/>
        <v>75.887874175545406</v>
      </c>
    </row>
    <row r="949" spans="2:30">
      <c r="B949" s="37">
        <v>110</v>
      </c>
      <c r="C949" s="855" t="s">
        <v>1814</v>
      </c>
      <c r="D949" s="855"/>
      <c r="E949" s="483"/>
      <c r="F949" s="483">
        <v>8</v>
      </c>
      <c r="G949" s="468"/>
      <c r="H949" s="526"/>
      <c r="I949" s="468"/>
      <c r="J949" s="35">
        <f>SUM(J941:J948)</f>
        <v>2414491000</v>
      </c>
      <c r="K949" s="35">
        <f>SUM(K941:K948)</f>
        <v>2681973000</v>
      </c>
      <c r="L949" s="37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82">
        <f>SUM(Y941:Y948)/8</f>
        <v>71.627392607809043</v>
      </c>
      <c r="Z949" s="82">
        <f>SUM(Z941:Z948)/8</f>
        <v>71.627392607809043</v>
      </c>
      <c r="AA949" s="35">
        <f>SUM(AA941:AA948)</f>
        <v>916635738</v>
      </c>
      <c r="AB949" s="82">
        <f>SUM(AB941:AB948)/8</f>
        <v>71.627392607809043</v>
      </c>
      <c r="AC949" s="35">
        <f>SUM(AC941:AC948)</f>
        <v>916635738</v>
      </c>
      <c r="AD949" s="82">
        <f>SUM(AD941:AD948)/8</f>
        <v>71.627392607809043</v>
      </c>
    </row>
    <row r="950" spans="2:30">
      <c r="B950" s="13"/>
      <c r="C950" s="17" t="s">
        <v>269</v>
      </c>
      <c r="D950" s="405" t="s">
        <v>1815</v>
      </c>
      <c r="E950" s="204"/>
      <c r="F950" s="204"/>
      <c r="G950" s="193"/>
      <c r="H950" s="89"/>
      <c r="I950" s="193"/>
      <c r="J950" s="25"/>
      <c r="K950" s="25"/>
      <c r="L950" s="13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</row>
    <row r="951" spans="2:30">
      <c r="B951" s="13">
        <f t="shared" ref="B951:B958" si="364">B950+1</f>
        <v>1</v>
      </c>
      <c r="C951" s="17" t="s">
        <v>206</v>
      </c>
      <c r="D951" s="39" t="s">
        <v>28</v>
      </c>
      <c r="E951" s="204"/>
      <c r="F951" s="204"/>
      <c r="G951" s="193"/>
      <c r="H951" s="89"/>
      <c r="I951" s="193"/>
      <c r="J951" s="15">
        <v>97705000</v>
      </c>
      <c r="K951" s="99">
        <v>81808000</v>
      </c>
      <c r="L951" s="13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53">
        <f t="shared" ref="Y951:Y958" si="365">AB951</f>
        <v>67.309059016233135</v>
      </c>
      <c r="Z951" s="53">
        <f t="shared" ref="Z951:Z958" si="366">AD951</f>
        <v>67.309059016233135</v>
      </c>
      <c r="AA951" s="22">
        <v>55064195</v>
      </c>
      <c r="AB951" s="19">
        <f>AA951/K951*100</f>
        <v>67.309059016233135</v>
      </c>
      <c r="AC951" s="22">
        <f t="shared" ref="AC951:AC958" si="367">AA951</f>
        <v>55064195</v>
      </c>
      <c r="AD951" s="19">
        <f>AC951/K951*100</f>
        <v>67.309059016233135</v>
      </c>
    </row>
    <row r="952" spans="2:30">
      <c r="B952" s="13">
        <f t="shared" si="364"/>
        <v>2</v>
      </c>
      <c r="C952" s="17" t="s">
        <v>207</v>
      </c>
      <c r="D952" s="39" t="s">
        <v>30</v>
      </c>
      <c r="E952" s="204"/>
      <c r="F952" s="204"/>
      <c r="G952" s="193"/>
      <c r="H952" s="89"/>
      <c r="I952" s="193"/>
      <c r="J952" s="15">
        <v>20500000</v>
      </c>
      <c r="K952" s="99">
        <v>21505000</v>
      </c>
      <c r="L952" s="13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53">
        <f t="shared" si="365"/>
        <v>75.317368053940953</v>
      </c>
      <c r="Z952" s="53">
        <f t="shared" si="366"/>
        <v>75.317368053940953</v>
      </c>
      <c r="AA952" s="22">
        <v>16197000</v>
      </c>
      <c r="AB952" s="19">
        <f t="shared" ref="AB952:AB958" si="368">AA952/K952*100</f>
        <v>75.317368053940953</v>
      </c>
      <c r="AC952" s="22">
        <f t="shared" si="367"/>
        <v>16197000</v>
      </c>
      <c r="AD952" s="19">
        <f t="shared" ref="AD952:AD958" si="369">AC952/K952*100</f>
        <v>75.317368053940953</v>
      </c>
    </row>
    <row r="953" spans="2:30">
      <c r="B953" s="13">
        <f t="shared" si="364"/>
        <v>3</v>
      </c>
      <c r="C953" s="17" t="s">
        <v>208</v>
      </c>
      <c r="D953" s="39" t="s">
        <v>32</v>
      </c>
      <c r="E953" s="204"/>
      <c r="F953" s="204"/>
      <c r="G953" s="193"/>
      <c r="H953" s="89"/>
      <c r="I953" s="193"/>
      <c r="J953" s="15">
        <v>131649000</v>
      </c>
      <c r="K953" s="99">
        <v>168110000</v>
      </c>
      <c r="L953" s="13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53">
        <f t="shared" si="365"/>
        <v>78.778537862114092</v>
      </c>
      <c r="Z953" s="53">
        <f t="shared" si="366"/>
        <v>78.778537862114092</v>
      </c>
      <c r="AA953" s="22">
        <v>132434600</v>
      </c>
      <c r="AB953" s="19">
        <f t="shared" si="368"/>
        <v>78.778537862114092</v>
      </c>
      <c r="AC953" s="22">
        <f t="shared" si="367"/>
        <v>132434600</v>
      </c>
      <c r="AD953" s="19">
        <f t="shared" si="369"/>
        <v>78.778537862114092</v>
      </c>
    </row>
    <row r="954" spans="2:30">
      <c r="B954" s="13">
        <f t="shared" si="364"/>
        <v>4</v>
      </c>
      <c r="C954" s="17" t="s">
        <v>209</v>
      </c>
      <c r="D954" s="39" t="s">
        <v>34</v>
      </c>
      <c r="E954" s="204"/>
      <c r="F954" s="204"/>
      <c r="G954" s="193"/>
      <c r="H954" s="89"/>
      <c r="I954" s="193"/>
      <c r="J954" s="15">
        <v>70150000</v>
      </c>
      <c r="K954" s="99">
        <v>105495000</v>
      </c>
      <c r="L954" s="13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53">
        <f t="shared" si="365"/>
        <v>78.269112280202862</v>
      </c>
      <c r="Z954" s="53">
        <f t="shared" si="366"/>
        <v>78.269112280202862</v>
      </c>
      <c r="AA954" s="22">
        <v>82570000</v>
      </c>
      <c r="AB954" s="19">
        <f t="shared" si="368"/>
        <v>78.269112280202862</v>
      </c>
      <c r="AC954" s="22">
        <f t="shared" si="367"/>
        <v>82570000</v>
      </c>
      <c r="AD954" s="19">
        <f t="shared" si="369"/>
        <v>78.269112280202862</v>
      </c>
    </row>
    <row r="955" spans="2:30" ht="27">
      <c r="B955" s="13">
        <f t="shared" si="364"/>
        <v>5</v>
      </c>
      <c r="C955" s="17" t="s">
        <v>1777</v>
      </c>
      <c r="D955" s="39" t="s">
        <v>1768</v>
      </c>
      <c r="E955" s="204"/>
      <c r="F955" s="204"/>
      <c r="G955" s="193"/>
      <c r="H955" s="89"/>
      <c r="I955" s="193"/>
      <c r="J955" s="15">
        <v>388196000</v>
      </c>
      <c r="K955" s="99">
        <v>550818000</v>
      </c>
      <c r="L955" s="13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53">
        <f t="shared" si="365"/>
        <v>90.084605622909933</v>
      </c>
      <c r="Z955" s="53">
        <f t="shared" si="366"/>
        <v>90.084605622909933</v>
      </c>
      <c r="AA955" s="22">
        <v>496202223</v>
      </c>
      <c r="AB955" s="19">
        <f t="shared" si="368"/>
        <v>90.084605622909933</v>
      </c>
      <c r="AC955" s="22">
        <f t="shared" si="367"/>
        <v>496202223</v>
      </c>
      <c r="AD955" s="19">
        <f t="shared" si="369"/>
        <v>90.084605622909933</v>
      </c>
    </row>
    <row r="956" spans="2:30">
      <c r="B956" s="45">
        <f t="shared" si="364"/>
        <v>6</v>
      </c>
      <c r="C956" s="44" t="s">
        <v>1778</v>
      </c>
      <c r="D956" s="78" t="s">
        <v>252</v>
      </c>
      <c r="E956" s="489"/>
      <c r="F956" s="489"/>
      <c r="G956" s="240"/>
      <c r="H956" s="186"/>
      <c r="I956" s="240"/>
      <c r="J956" s="15">
        <v>116625000</v>
      </c>
      <c r="K956" s="99">
        <v>116625000</v>
      </c>
      <c r="L956" s="45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55">
        <f t="shared" si="365"/>
        <v>86.299133118971056</v>
      </c>
      <c r="Z956" s="55">
        <f t="shared" si="366"/>
        <v>86.299133118971056</v>
      </c>
      <c r="AA956" s="73">
        <v>100646364</v>
      </c>
      <c r="AB956" s="19">
        <f t="shared" si="368"/>
        <v>86.299133118971056</v>
      </c>
      <c r="AC956" s="73">
        <f t="shared" si="367"/>
        <v>100646364</v>
      </c>
      <c r="AD956" s="19">
        <f t="shared" si="369"/>
        <v>86.299133118971056</v>
      </c>
    </row>
    <row r="957" spans="2:30">
      <c r="B957" s="13">
        <f t="shared" si="364"/>
        <v>7</v>
      </c>
      <c r="C957" s="58" t="s">
        <v>354</v>
      </c>
      <c r="D957" s="59" t="s">
        <v>1772</v>
      </c>
      <c r="E957" s="204"/>
      <c r="F957" s="204"/>
      <c r="G957" s="193"/>
      <c r="H957" s="89"/>
      <c r="I957" s="193"/>
      <c r="J957" s="15">
        <v>1569308000</v>
      </c>
      <c r="K957" s="99">
        <v>1820709000</v>
      </c>
      <c r="L957" s="13"/>
      <c r="M957" s="17"/>
      <c r="N957" s="17"/>
      <c r="O957" s="17"/>
      <c r="P957" s="17"/>
      <c r="Q957" s="17"/>
      <c r="R957" s="44"/>
      <c r="S957" s="44"/>
      <c r="T957" s="44"/>
      <c r="U957" s="44"/>
      <c r="V957" s="44"/>
      <c r="W957" s="44"/>
      <c r="X957" s="44"/>
      <c r="Y957" s="55">
        <f t="shared" si="365"/>
        <v>90.655795352250138</v>
      </c>
      <c r="Z957" s="55">
        <f t="shared" si="366"/>
        <v>90.655795352250138</v>
      </c>
      <c r="AA957" s="22">
        <v>1650578225</v>
      </c>
      <c r="AB957" s="19">
        <f t="shared" si="368"/>
        <v>90.655795352250138</v>
      </c>
      <c r="AC957" s="22">
        <f t="shared" si="367"/>
        <v>1650578225</v>
      </c>
      <c r="AD957" s="19">
        <f t="shared" si="369"/>
        <v>90.655795352250138</v>
      </c>
    </row>
    <row r="958" spans="2:30" ht="25.5">
      <c r="B958" s="32">
        <f t="shared" si="364"/>
        <v>8</v>
      </c>
      <c r="C958" s="60" t="s">
        <v>355</v>
      </c>
      <c r="D958" s="398" t="s">
        <v>1773</v>
      </c>
      <c r="E958" s="507"/>
      <c r="F958" s="489"/>
      <c r="G958" s="240"/>
      <c r="H958" s="186"/>
      <c r="I958" s="240"/>
      <c r="J958" s="15">
        <v>170692000</v>
      </c>
      <c r="K958" s="99">
        <v>157186000</v>
      </c>
      <c r="L958" s="32"/>
      <c r="M958" s="33"/>
      <c r="N958" s="33"/>
      <c r="O958" s="33"/>
      <c r="P958" s="33"/>
      <c r="Q958" s="33"/>
      <c r="R958" s="44"/>
      <c r="S958" s="44"/>
      <c r="T958" s="44"/>
      <c r="U958" s="44"/>
      <c r="V958" s="44"/>
      <c r="W958" s="44"/>
      <c r="X958" s="44"/>
      <c r="Y958" s="55">
        <f t="shared" si="365"/>
        <v>41.837059280088553</v>
      </c>
      <c r="Z958" s="55">
        <f t="shared" si="366"/>
        <v>41.837059280088553</v>
      </c>
      <c r="AA958" s="325">
        <v>65762000</v>
      </c>
      <c r="AB958" s="19">
        <f t="shared" si="368"/>
        <v>41.837059280088553</v>
      </c>
      <c r="AC958" s="325">
        <f t="shared" si="367"/>
        <v>65762000</v>
      </c>
      <c r="AD958" s="19">
        <f t="shared" si="369"/>
        <v>41.837059280088553</v>
      </c>
    </row>
    <row r="959" spans="2:30">
      <c r="B959" s="37">
        <v>111</v>
      </c>
      <c r="C959" s="855" t="s">
        <v>1816</v>
      </c>
      <c r="D959" s="855"/>
      <c r="E959" s="483"/>
      <c r="F959" s="483">
        <v>8</v>
      </c>
      <c r="G959" s="468"/>
      <c r="H959" s="526"/>
      <c r="I959" s="468"/>
      <c r="J959" s="35">
        <f>SUM(J951:J958)</f>
        <v>2564825000</v>
      </c>
      <c r="K959" s="35">
        <f>SUM(K951:K958)</f>
        <v>3022256000</v>
      </c>
      <c r="L959" s="37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82">
        <f>SUM(Y951:Y958)/8</f>
        <v>76.068833823338835</v>
      </c>
      <c r="Z959" s="82">
        <f>SUM(Z951:Z958)/8</f>
        <v>76.068833823338835</v>
      </c>
      <c r="AA959" s="35">
        <f>SUM(AA951:AA958)</f>
        <v>2599454607</v>
      </c>
      <c r="AB959" s="82">
        <f>SUM(AB951:AB958)/8</f>
        <v>76.068833823338835</v>
      </c>
      <c r="AC959" s="35">
        <f>SUM(AC951:AC958)</f>
        <v>2599454607</v>
      </c>
      <c r="AD959" s="82">
        <f>SUM(AD951:AD958)/8</f>
        <v>76.068833823338835</v>
      </c>
    </row>
    <row r="960" spans="2:30">
      <c r="B960" s="66"/>
      <c r="C960" s="63" t="s">
        <v>291</v>
      </c>
      <c r="D960" s="118" t="s">
        <v>1817</v>
      </c>
      <c r="E960" s="484"/>
      <c r="F960" s="484"/>
      <c r="G960" s="472"/>
      <c r="H960" s="242"/>
      <c r="I960" s="472"/>
      <c r="J960" s="65"/>
      <c r="K960" s="65"/>
      <c r="L960" s="66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2:30">
      <c r="B961" s="13">
        <f t="shared" ref="B961:B968" si="370">B960+1</f>
        <v>1</v>
      </c>
      <c r="C961" s="17" t="s">
        <v>206</v>
      </c>
      <c r="D961" s="39" t="s">
        <v>28</v>
      </c>
      <c r="E961" s="204"/>
      <c r="F961" s="204"/>
      <c r="G961" s="193"/>
      <c r="H961" s="89"/>
      <c r="I961" s="193"/>
      <c r="J961" s="15">
        <v>37390000</v>
      </c>
      <c r="K961" s="99">
        <v>36310000</v>
      </c>
      <c r="L961" s="13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53">
        <f t="shared" ref="Y961:Y968" si="371">AB961</f>
        <v>90.602511704764538</v>
      </c>
      <c r="Z961" s="53">
        <f t="shared" ref="Z961:Z968" si="372">AD961</f>
        <v>90.602511704764538</v>
      </c>
      <c r="AA961" s="53">
        <v>32897772</v>
      </c>
      <c r="AB961" s="19">
        <f>AA961/K961*100</f>
        <v>90.602511704764538</v>
      </c>
      <c r="AC961" s="53">
        <f t="shared" ref="AC961:AC968" si="373">AA961</f>
        <v>32897772</v>
      </c>
      <c r="AD961" s="19">
        <f>AC961/K961*100</f>
        <v>90.602511704764538</v>
      </c>
    </row>
    <row r="962" spans="2:30">
      <c r="B962" s="13">
        <f t="shared" si="370"/>
        <v>2</v>
      </c>
      <c r="C962" s="17" t="s">
        <v>207</v>
      </c>
      <c r="D962" s="39" t="s">
        <v>30</v>
      </c>
      <c r="E962" s="204"/>
      <c r="F962" s="204"/>
      <c r="G962" s="193"/>
      <c r="H962" s="89"/>
      <c r="I962" s="193"/>
      <c r="J962" s="15">
        <v>14310000</v>
      </c>
      <c r="K962" s="99">
        <v>16310000</v>
      </c>
      <c r="L962" s="13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53">
        <f t="shared" si="371"/>
        <v>99.080318822808096</v>
      </c>
      <c r="Z962" s="53">
        <f t="shared" si="372"/>
        <v>99.080318822808096</v>
      </c>
      <c r="AA962" s="53">
        <v>16160000</v>
      </c>
      <c r="AB962" s="19">
        <f t="shared" ref="AB962:AB968" si="374">AA962/K962*100</f>
        <v>99.080318822808096</v>
      </c>
      <c r="AC962" s="53">
        <f t="shared" si="373"/>
        <v>16160000</v>
      </c>
      <c r="AD962" s="19">
        <f t="shared" ref="AD962:AD968" si="375">AC962/K962*100</f>
        <v>99.080318822808096</v>
      </c>
    </row>
    <row r="963" spans="2:30">
      <c r="B963" s="13">
        <f t="shared" si="370"/>
        <v>3</v>
      </c>
      <c r="C963" s="17" t="s">
        <v>208</v>
      </c>
      <c r="D963" s="39" t="s">
        <v>32</v>
      </c>
      <c r="E963" s="204"/>
      <c r="F963" s="204"/>
      <c r="G963" s="193"/>
      <c r="H963" s="89"/>
      <c r="I963" s="193"/>
      <c r="J963" s="15">
        <v>35722000</v>
      </c>
      <c r="K963" s="99">
        <v>47226000</v>
      </c>
      <c r="L963" s="13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53">
        <f t="shared" si="371"/>
        <v>87.24198534705458</v>
      </c>
      <c r="Z963" s="53">
        <f t="shared" si="372"/>
        <v>87.24198534705458</v>
      </c>
      <c r="AA963" s="53">
        <v>41200900</v>
      </c>
      <c r="AB963" s="19">
        <f t="shared" si="374"/>
        <v>87.24198534705458</v>
      </c>
      <c r="AC963" s="53">
        <f t="shared" si="373"/>
        <v>41200900</v>
      </c>
      <c r="AD963" s="19">
        <f t="shared" si="375"/>
        <v>87.24198534705458</v>
      </c>
    </row>
    <row r="964" spans="2:30">
      <c r="B964" s="13">
        <f t="shared" si="370"/>
        <v>4</v>
      </c>
      <c r="C964" s="17" t="s">
        <v>209</v>
      </c>
      <c r="D964" s="39" t="s">
        <v>34</v>
      </c>
      <c r="E964" s="204"/>
      <c r="F964" s="204"/>
      <c r="G964" s="193"/>
      <c r="H964" s="89"/>
      <c r="I964" s="193"/>
      <c r="J964" s="15">
        <v>38150000</v>
      </c>
      <c r="K964" s="99">
        <v>39300000</v>
      </c>
      <c r="L964" s="13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53">
        <f t="shared" si="371"/>
        <v>97.70992366412213</v>
      </c>
      <c r="Z964" s="53">
        <f t="shared" si="372"/>
        <v>97.70992366412213</v>
      </c>
      <c r="AA964" s="53">
        <v>38400000</v>
      </c>
      <c r="AB964" s="19">
        <f t="shared" si="374"/>
        <v>97.70992366412213</v>
      </c>
      <c r="AC964" s="53">
        <f t="shared" si="373"/>
        <v>38400000</v>
      </c>
      <c r="AD964" s="19">
        <f t="shared" si="375"/>
        <v>97.70992366412213</v>
      </c>
    </row>
    <row r="965" spans="2:30" ht="27">
      <c r="B965" s="13">
        <f t="shared" si="370"/>
        <v>5</v>
      </c>
      <c r="C965" s="17" t="s">
        <v>1777</v>
      </c>
      <c r="D965" s="39" t="s">
        <v>1768</v>
      </c>
      <c r="E965" s="204"/>
      <c r="F965" s="204"/>
      <c r="G965" s="193"/>
      <c r="H965" s="89"/>
      <c r="I965" s="193"/>
      <c r="J965" s="15">
        <v>180772000</v>
      </c>
      <c r="K965" s="99">
        <v>195307000</v>
      </c>
      <c r="L965" s="13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53">
        <f t="shared" si="371"/>
        <v>96.34805716128966</v>
      </c>
      <c r="Z965" s="53">
        <f t="shared" si="372"/>
        <v>96.34805716128966</v>
      </c>
      <c r="AA965" s="53">
        <v>188174500</v>
      </c>
      <c r="AB965" s="19">
        <f t="shared" si="374"/>
        <v>96.34805716128966</v>
      </c>
      <c r="AC965" s="53">
        <f t="shared" si="373"/>
        <v>188174500</v>
      </c>
      <c r="AD965" s="19">
        <f t="shared" si="375"/>
        <v>96.34805716128966</v>
      </c>
    </row>
    <row r="966" spans="2:30">
      <c r="B966" s="45">
        <f t="shared" si="370"/>
        <v>6</v>
      </c>
      <c r="C966" s="44" t="s">
        <v>1778</v>
      </c>
      <c r="D966" s="78" t="s">
        <v>252</v>
      </c>
      <c r="E966" s="489"/>
      <c r="F966" s="489"/>
      <c r="G966" s="240"/>
      <c r="H966" s="186"/>
      <c r="I966" s="240"/>
      <c r="J966" s="15">
        <v>38664000</v>
      </c>
      <c r="K966" s="99">
        <v>38664000</v>
      </c>
      <c r="L966" s="45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55">
        <f t="shared" si="371"/>
        <v>82.690616594247885</v>
      </c>
      <c r="Z966" s="55">
        <f t="shared" si="372"/>
        <v>82.690616594247885</v>
      </c>
      <c r="AA966" s="55">
        <v>31971500</v>
      </c>
      <c r="AB966" s="19">
        <f t="shared" si="374"/>
        <v>82.690616594247885</v>
      </c>
      <c r="AC966" s="55">
        <f t="shared" si="373"/>
        <v>31971500</v>
      </c>
      <c r="AD966" s="19">
        <f t="shared" si="375"/>
        <v>82.690616594247885</v>
      </c>
    </row>
    <row r="967" spans="2:30">
      <c r="B967" s="13">
        <f t="shared" si="370"/>
        <v>7</v>
      </c>
      <c r="C967" s="58" t="s">
        <v>354</v>
      </c>
      <c r="D967" s="389" t="s">
        <v>1772</v>
      </c>
      <c r="E967" s="204"/>
      <c r="F967" s="204"/>
      <c r="G967" s="193"/>
      <c r="H967" s="89"/>
      <c r="I967" s="193"/>
      <c r="J967" s="15">
        <v>1125209000</v>
      </c>
      <c r="K967" s="99">
        <v>1559418000</v>
      </c>
      <c r="L967" s="13"/>
      <c r="M967" s="17"/>
      <c r="N967" s="17"/>
      <c r="O967" s="17"/>
      <c r="P967" s="17"/>
      <c r="Q967" s="17"/>
      <c r="R967" s="44"/>
      <c r="S967" s="44"/>
      <c r="T967" s="44"/>
      <c r="U967" s="44"/>
      <c r="V967" s="44"/>
      <c r="W967" s="44"/>
      <c r="X967" s="44"/>
      <c r="Y967" s="55">
        <f t="shared" si="371"/>
        <v>80.736413520941781</v>
      </c>
      <c r="Z967" s="55">
        <f t="shared" si="372"/>
        <v>80.736413520941781</v>
      </c>
      <c r="AA967" s="53">
        <v>1259018165</v>
      </c>
      <c r="AB967" s="19">
        <f t="shared" si="374"/>
        <v>80.736413520941781</v>
      </c>
      <c r="AC967" s="53">
        <f t="shared" si="373"/>
        <v>1259018165</v>
      </c>
      <c r="AD967" s="19">
        <f t="shared" si="375"/>
        <v>80.736413520941781</v>
      </c>
    </row>
    <row r="968" spans="2:30" ht="25.5">
      <c r="B968" s="32">
        <f t="shared" si="370"/>
        <v>8</v>
      </c>
      <c r="C968" s="60" t="s">
        <v>355</v>
      </c>
      <c r="D968" s="390" t="s">
        <v>1773</v>
      </c>
      <c r="E968" s="507"/>
      <c r="F968" s="489"/>
      <c r="G968" s="240"/>
      <c r="H968" s="186"/>
      <c r="I968" s="240"/>
      <c r="J968" s="15">
        <v>148666000</v>
      </c>
      <c r="K968" s="99">
        <v>78755000</v>
      </c>
      <c r="L968" s="32"/>
      <c r="M968" s="33"/>
      <c r="N968" s="33"/>
      <c r="O968" s="33"/>
      <c r="P968" s="33"/>
      <c r="Q968" s="33"/>
      <c r="R968" s="44"/>
      <c r="S968" s="44"/>
      <c r="T968" s="44"/>
      <c r="U968" s="44"/>
      <c r="V968" s="44"/>
      <c r="W968" s="44"/>
      <c r="X968" s="44"/>
      <c r="Y968" s="55">
        <f t="shared" si="371"/>
        <v>54.733032823312811</v>
      </c>
      <c r="Z968" s="55">
        <f t="shared" si="372"/>
        <v>54.733032823312811</v>
      </c>
      <c r="AA968" s="56">
        <v>43105000</v>
      </c>
      <c r="AB968" s="19">
        <f t="shared" si="374"/>
        <v>54.733032823312811</v>
      </c>
      <c r="AC968" s="56">
        <f t="shared" si="373"/>
        <v>43105000</v>
      </c>
      <c r="AD968" s="19">
        <f t="shared" si="375"/>
        <v>54.733032823312811</v>
      </c>
    </row>
    <row r="969" spans="2:30" ht="18.75" customHeight="1">
      <c r="B969" s="37">
        <v>112</v>
      </c>
      <c r="C969" s="855" t="s">
        <v>1818</v>
      </c>
      <c r="D969" s="855"/>
      <c r="E969" s="483"/>
      <c r="F969" s="483">
        <v>8</v>
      </c>
      <c r="G969" s="468"/>
      <c r="H969" s="526"/>
      <c r="I969" s="468"/>
      <c r="J969" s="35">
        <f>SUM(J961:J968)</f>
        <v>1618883000</v>
      </c>
      <c r="K969" s="35">
        <f>SUM(K961:K968)</f>
        <v>2011290000</v>
      </c>
      <c r="L969" s="37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82">
        <f>SUM(Y961:Y968)/8</f>
        <v>86.142857454817687</v>
      </c>
      <c r="Z969" s="82">
        <f>SUM(Z961:Z968)/8</f>
        <v>86.142857454817687</v>
      </c>
      <c r="AA969" s="35">
        <f>SUM(AA961:AA968)</f>
        <v>1650927837</v>
      </c>
      <c r="AB969" s="35">
        <f>SUM(AB961:AB968)/8</f>
        <v>86.142857454817687</v>
      </c>
      <c r="AC969" s="35">
        <f>SUM(AC961:AC968)</f>
        <v>1650927837</v>
      </c>
      <c r="AD969" s="35">
        <f>SUM(AD961:AD968)/8</f>
        <v>86.142857454817687</v>
      </c>
    </row>
    <row r="970" spans="2:30">
      <c r="B970" s="66"/>
      <c r="C970" s="63" t="s">
        <v>347</v>
      </c>
      <c r="D970" s="118" t="s">
        <v>1819</v>
      </c>
      <c r="E970" s="484"/>
      <c r="F970" s="484"/>
      <c r="G970" s="472"/>
      <c r="H970" s="242"/>
      <c r="I970" s="472"/>
      <c r="J970" s="65"/>
      <c r="K970" s="65"/>
      <c r="L970" s="66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2:30">
      <c r="B971" s="13">
        <f t="shared" ref="B971:B978" si="376">B970+1</f>
        <v>1</v>
      </c>
      <c r="C971" s="17" t="s">
        <v>206</v>
      </c>
      <c r="D971" s="39" t="s">
        <v>28</v>
      </c>
      <c r="E971" s="204"/>
      <c r="F971" s="204"/>
      <c r="G971" s="193"/>
      <c r="H971" s="89"/>
      <c r="I971" s="193"/>
      <c r="J971" s="15">
        <v>121156000</v>
      </c>
      <c r="K971" s="99">
        <v>126466000</v>
      </c>
      <c r="L971" s="13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53">
        <f t="shared" ref="Y971:Y978" si="377">AB971</f>
        <v>92.931479607167148</v>
      </c>
      <c r="Z971" s="53">
        <f t="shared" ref="Z971:Z978" si="378">AD971</f>
        <v>92.931479607167148</v>
      </c>
      <c r="AA971" s="53">
        <f>16304800+1633500+1797000+5609500+1910000+31199800+3945000+31357400+7728225+6111500+9930000</f>
        <v>117526725</v>
      </c>
      <c r="AB971" s="19">
        <f>AA971/K971*100</f>
        <v>92.931479607167148</v>
      </c>
      <c r="AC971" s="53">
        <f>AA971</f>
        <v>117526725</v>
      </c>
      <c r="AD971" s="19">
        <f>AC971/K971*100</f>
        <v>92.931479607167148</v>
      </c>
    </row>
    <row r="972" spans="2:30">
      <c r="B972" s="13">
        <f t="shared" si="376"/>
        <v>2</v>
      </c>
      <c r="C972" s="17" t="s">
        <v>207</v>
      </c>
      <c r="D972" s="39" t="s">
        <v>30</v>
      </c>
      <c r="E972" s="204"/>
      <c r="F972" s="204"/>
      <c r="G972" s="193"/>
      <c r="H972" s="89"/>
      <c r="I972" s="193"/>
      <c r="J972" s="15">
        <v>12485000</v>
      </c>
      <c r="K972" s="99">
        <v>8400000</v>
      </c>
      <c r="L972" s="13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53">
        <f t="shared" si="377"/>
        <v>100</v>
      </c>
      <c r="Z972" s="53">
        <f t="shared" si="378"/>
        <v>100</v>
      </c>
      <c r="AA972" s="53">
        <f>K972</f>
        <v>8400000</v>
      </c>
      <c r="AB972" s="19">
        <f t="shared" ref="AB972:AB978" si="379">AA972/K972*100</f>
        <v>100</v>
      </c>
      <c r="AC972" s="53">
        <f t="shared" ref="AC972:AC978" si="380">AA972</f>
        <v>8400000</v>
      </c>
      <c r="AD972" s="19">
        <f t="shared" ref="AD972:AD978" si="381">AC972/K972*100</f>
        <v>100</v>
      </c>
    </row>
    <row r="973" spans="2:30">
      <c r="B973" s="13">
        <f t="shared" si="376"/>
        <v>3</v>
      </c>
      <c r="C973" s="17" t="s">
        <v>208</v>
      </c>
      <c r="D973" s="39" t="s">
        <v>32</v>
      </c>
      <c r="E973" s="204"/>
      <c r="F973" s="204"/>
      <c r="G973" s="193"/>
      <c r="H973" s="89"/>
      <c r="I973" s="193"/>
      <c r="J973" s="15">
        <v>123113000</v>
      </c>
      <c r="K973" s="99">
        <v>181289000</v>
      </c>
      <c r="L973" s="13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53">
        <f t="shared" si="377"/>
        <v>73.70805619756301</v>
      </c>
      <c r="Z973" s="53">
        <f t="shared" si="378"/>
        <v>73.70805619756301</v>
      </c>
      <c r="AA973" s="53">
        <f>110098500+1414500+610000+6971098+72500+3513000+6945000+1000000+3000000</f>
        <v>133624598</v>
      </c>
      <c r="AB973" s="19">
        <f t="shared" si="379"/>
        <v>73.70805619756301</v>
      </c>
      <c r="AC973" s="53">
        <f t="shared" si="380"/>
        <v>133624598</v>
      </c>
      <c r="AD973" s="19">
        <f t="shared" si="381"/>
        <v>73.70805619756301</v>
      </c>
    </row>
    <row r="974" spans="2:30">
      <c r="B974" s="13">
        <f t="shared" si="376"/>
        <v>4</v>
      </c>
      <c r="C974" s="17" t="s">
        <v>209</v>
      </c>
      <c r="D974" s="39" t="s">
        <v>34</v>
      </c>
      <c r="E974" s="204"/>
      <c r="F974" s="204"/>
      <c r="G974" s="193"/>
      <c r="H974" s="89"/>
      <c r="I974" s="193"/>
      <c r="J974" s="15">
        <v>124590000</v>
      </c>
      <c r="K974" s="99">
        <v>134534000</v>
      </c>
      <c r="L974" s="13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53">
        <f t="shared" si="377"/>
        <v>49.00099603074316</v>
      </c>
      <c r="Z974" s="53">
        <f t="shared" si="378"/>
        <v>49.00099603074316</v>
      </c>
      <c r="AA974" s="53">
        <f>850000+7000000+22823000+35250000</f>
        <v>65923000</v>
      </c>
      <c r="AB974" s="19">
        <f t="shared" si="379"/>
        <v>49.00099603074316</v>
      </c>
      <c r="AC974" s="53">
        <f t="shared" si="380"/>
        <v>65923000</v>
      </c>
      <c r="AD974" s="19">
        <f t="shared" si="381"/>
        <v>49.00099603074316</v>
      </c>
    </row>
    <row r="975" spans="2:30" ht="27">
      <c r="B975" s="45">
        <f t="shared" si="376"/>
        <v>5</v>
      </c>
      <c r="C975" s="44" t="s">
        <v>1777</v>
      </c>
      <c r="D975" s="78" t="s">
        <v>1768</v>
      </c>
      <c r="E975" s="489"/>
      <c r="F975" s="489"/>
      <c r="G975" s="240"/>
      <c r="H975" s="186"/>
      <c r="I975" s="240"/>
      <c r="J975" s="15">
        <v>481844000</v>
      </c>
      <c r="K975" s="99">
        <v>500291000</v>
      </c>
      <c r="L975" s="45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55">
        <f t="shared" si="377"/>
        <v>31.505536777595438</v>
      </c>
      <c r="Z975" s="55">
        <f t="shared" si="378"/>
        <v>31.505536777595438</v>
      </c>
      <c r="AA975" s="55">
        <v>157619365</v>
      </c>
      <c r="AB975" s="19">
        <f t="shared" si="379"/>
        <v>31.505536777595438</v>
      </c>
      <c r="AC975" s="55">
        <f t="shared" si="380"/>
        <v>157619365</v>
      </c>
      <c r="AD975" s="19">
        <f t="shared" si="381"/>
        <v>31.505536777595438</v>
      </c>
    </row>
    <row r="976" spans="2:30">
      <c r="B976" s="13">
        <f t="shared" si="376"/>
        <v>6</v>
      </c>
      <c r="C976" s="17" t="s">
        <v>1778</v>
      </c>
      <c r="D976" s="39" t="s">
        <v>252</v>
      </c>
      <c r="E976" s="204"/>
      <c r="F976" s="204"/>
      <c r="G976" s="193"/>
      <c r="H976" s="89"/>
      <c r="I976" s="193"/>
      <c r="J976" s="15">
        <v>72601000</v>
      </c>
      <c r="K976" s="99">
        <v>72601000</v>
      </c>
      <c r="L976" s="13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53">
        <f t="shared" si="377"/>
        <v>80.246141237724004</v>
      </c>
      <c r="Z976" s="53">
        <f t="shared" si="378"/>
        <v>80.246141237724004</v>
      </c>
      <c r="AA976" s="53">
        <v>58259501</v>
      </c>
      <c r="AB976" s="19">
        <f t="shared" si="379"/>
        <v>80.246141237724004</v>
      </c>
      <c r="AC976" s="53">
        <f t="shared" si="380"/>
        <v>58259501</v>
      </c>
      <c r="AD976" s="19">
        <f t="shared" si="381"/>
        <v>80.246141237724004</v>
      </c>
    </row>
    <row r="977" spans="2:30">
      <c r="B977" s="13">
        <f t="shared" si="376"/>
        <v>7</v>
      </c>
      <c r="C977" s="58" t="s">
        <v>354</v>
      </c>
      <c r="D977" s="389" t="s">
        <v>1772</v>
      </c>
      <c r="E977" s="204"/>
      <c r="F977" s="204"/>
      <c r="G977" s="193"/>
      <c r="H977" s="89"/>
      <c r="I977" s="193"/>
      <c r="J977" s="15">
        <v>1817889000</v>
      </c>
      <c r="K977" s="99">
        <v>2175965000</v>
      </c>
      <c r="L977" s="13"/>
      <c r="M977" s="17"/>
      <c r="N977" s="17"/>
      <c r="O977" s="17"/>
      <c r="P977" s="17"/>
      <c r="Q977" s="17"/>
      <c r="R977" s="17"/>
      <c r="T977" s="17"/>
      <c r="U977" s="17"/>
      <c r="V977" s="17"/>
      <c r="W977" s="17"/>
      <c r="X977" s="17"/>
      <c r="Y977" s="53">
        <f t="shared" si="377"/>
        <v>97.784195288067593</v>
      </c>
      <c r="Z977" s="53">
        <f t="shared" si="378"/>
        <v>97.784195288067593</v>
      </c>
      <c r="AA977" s="53">
        <f>1784585379+13445200+10016500+4464056+77195436+42339329+4689200+2730000+30665400+157619365</f>
        <v>2127749865</v>
      </c>
      <c r="AB977" s="19">
        <f t="shared" si="379"/>
        <v>97.784195288067593</v>
      </c>
      <c r="AC977" s="53">
        <f t="shared" si="380"/>
        <v>2127749865</v>
      </c>
      <c r="AD977" s="19">
        <f t="shared" si="381"/>
        <v>97.784195288067593</v>
      </c>
    </row>
    <row r="978" spans="2:30" ht="25.5">
      <c r="B978" s="32">
        <f t="shared" si="376"/>
        <v>8</v>
      </c>
      <c r="C978" s="60" t="s">
        <v>355</v>
      </c>
      <c r="D978" s="390" t="s">
        <v>1773</v>
      </c>
      <c r="E978" s="507"/>
      <c r="F978" s="489"/>
      <c r="G978" s="240"/>
      <c r="H978" s="186"/>
      <c r="I978" s="240"/>
      <c r="J978" s="15">
        <v>71985000</v>
      </c>
      <c r="K978" s="99">
        <v>112021000</v>
      </c>
      <c r="L978" s="32"/>
      <c r="M978" s="33"/>
      <c r="N978" s="33"/>
      <c r="O978" s="33"/>
      <c r="P978" s="33"/>
      <c r="Q978" s="33"/>
      <c r="R978" s="44"/>
      <c r="S978" s="44"/>
      <c r="T978" s="44"/>
      <c r="U978" s="44"/>
      <c r="V978" s="44"/>
      <c r="W978" s="44"/>
      <c r="X978" s="44"/>
      <c r="Y978" s="53">
        <f t="shared" si="377"/>
        <v>74.714964158505992</v>
      </c>
      <c r="Z978" s="53">
        <f t="shared" si="378"/>
        <v>74.714964158505992</v>
      </c>
      <c r="AA978" s="56">
        <v>83696450</v>
      </c>
      <c r="AB978" s="19">
        <f t="shared" si="379"/>
        <v>74.714964158505992</v>
      </c>
      <c r="AC978" s="53">
        <f t="shared" si="380"/>
        <v>83696450</v>
      </c>
      <c r="AD978" s="19">
        <f t="shared" si="381"/>
        <v>74.714964158505992</v>
      </c>
    </row>
    <row r="979" spans="2:30">
      <c r="B979" s="37">
        <v>113</v>
      </c>
      <c r="C979" s="855" t="s">
        <v>1820</v>
      </c>
      <c r="D979" s="855"/>
      <c r="E979" s="483"/>
      <c r="F979" s="483">
        <v>8</v>
      </c>
      <c r="G979" s="468"/>
      <c r="H979" s="526"/>
      <c r="I979" s="468"/>
      <c r="J979" s="35">
        <f>SUM(J971:J978)</f>
        <v>2825663000</v>
      </c>
      <c r="K979" s="35">
        <f>SUM(K971:K978)</f>
        <v>3311567000</v>
      </c>
      <c r="L979" s="37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82">
        <f>SUM(Y971:Y978)/8</f>
        <v>74.986421162170799</v>
      </c>
      <c r="Z979" s="82">
        <f>SUM(Z971:Z978)/8</f>
        <v>74.986421162170799</v>
      </c>
      <c r="AA979" s="35">
        <f>SUM(AA971:AA978)</f>
        <v>2752799504</v>
      </c>
      <c r="AB979" s="82">
        <f>SUM(AB971:AB978)/8</f>
        <v>74.986421162170799</v>
      </c>
      <c r="AC979" s="35">
        <f>SUM(AC971:AC978)</f>
        <v>2752799504</v>
      </c>
      <c r="AD979" s="82">
        <f>SUM(AD971:AD978)/8</f>
        <v>74.986421162170799</v>
      </c>
    </row>
    <row r="980" spans="2:30">
      <c r="B980" s="66"/>
      <c r="C980" s="63" t="s">
        <v>297</v>
      </c>
      <c r="D980" s="118" t="s">
        <v>1821</v>
      </c>
      <c r="E980" s="484"/>
      <c r="F980" s="484"/>
      <c r="G980" s="472"/>
      <c r="H980" s="242"/>
      <c r="I980" s="472"/>
      <c r="J980" s="65"/>
      <c r="K980" s="65"/>
      <c r="L980" s="66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2:30">
      <c r="B981" s="13">
        <f t="shared" ref="B981:B988" si="382">B980+1</f>
        <v>1</v>
      </c>
      <c r="C981" s="17" t="s">
        <v>206</v>
      </c>
      <c r="D981" s="39" t="s">
        <v>28</v>
      </c>
      <c r="E981" s="204"/>
      <c r="F981" s="204"/>
      <c r="G981" s="193"/>
      <c r="H981" s="89"/>
      <c r="I981" s="193"/>
      <c r="J981" s="15">
        <v>56018000</v>
      </c>
      <c r="K981" s="99">
        <v>53621000</v>
      </c>
      <c r="L981" s="13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53">
        <v>100</v>
      </c>
      <c r="Z981" s="53">
        <f t="shared" ref="Z981:Z988" si="383">AD981</f>
        <v>74.182600100706807</v>
      </c>
      <c r="AA981" s="22">
        <v>39777452</v>
      </c>
      <c r="AB981" s="19">
        <f>AA981/K981*100</f>
        <v>74.182600100706807</v>
      </c>
      <c r="AC981" s="22">
        <f t="shared" ref="AC981:AC988" si="384">AA981</f>
        <v>39777452</v>
      </c>
      <c r="AD981" s="19">
        <f>AC981/K981*100</f>
        <v>74.182600100706807</v>
      </c>
    </row>
    <row r="982" spans="2:30">
      <c r="B982" s="13">
        <f t="shared" si="382"/>
        <v>2</v>
      </c>
      <c r="C982" s="17" t="s">
        <v>207</v>
      </c>
      <c r="D982" s="39" t="s">
        <v>30</v>
      </c>
      <c r="E982" s="204"/>
      <c r="F982" s="204"/>
      <c r="G982" s="193"/>
      <c r="H982" s="89"/>
      <c r="I982" s="193"/>
      <c r="J982" s="15">
        <v>14850000</v>
      </c>
      <c r="K982" s="99">
        <v>13625000</v>
      </c>
      <c r="L982" s="13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53">
        <v>100</v>
      </c>
      <c r="Z982" s="53">
        <f t="shared" si="383"/>
        <v>61.651376146788991</v>
      </c>
      <c r="AA982" s="22">
        <v>8400000</v>
      </c>
      <c r="AB982" s="19">
        <f t="shared" ref="AB982:AB988" si="385">AA982/K982*100</f>
        <v>61.651376146788991</v>
      </c>
      <c r="AC982" s="22">
        <f t="shared" si="384"/>
        <v>8400000</v>
      </c>
      <c r="AD982" s="19">
        <f t="shared" ref="AD982:AD988" si="386">AC982/K982*100</f>
        <v>61.651376146788991</v>
      </c>
    </row>
    <row r="983" spans="2:30">
      <c r="B983" s="13">
        <f t="shared" si="382"/>
        <v>3</v>
      </c>
      <c r="C983" s="17" t="s">
        <v>208</v>
      </c>
      <c r="D983" s="39" t="s">
        <v>32</v>
      </c>
      <c r="E983" s="204"/>
      <c r="F983" s="204"/>
      <c r="G983" s="193"/>
      <c r="H983" s="89"/>
      <c r="I983" s="193"/>
      <c r="J983" s="15">
        <v>12270000</v>
      </c>
      <c r="K983" s="99">
        <v>19003000</v>
      </c>
      <c r="L983" s="13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53">
        <v>100</v>
      </c>
      <c r="Z983" s="53">
        <f t="shared" si="383"/>
        <v>57.767589328000845</v>
      </c>
      <c r="AA983" s="22">
        <v>10977575</v>
      </c>
      <c r="AB983" s="19">
        <f t="shared" si="385"/>
        <v>57.767589328000845</v>
      </c>
      <c r="AC983" s="22">
        <f t="shared" si="384"/>
        <v>10977575</v>
      </c>
      <c r="AD983" s="19">
        <f t="shared" si="386"/>
        <v>57.767589328000845</v>
      </c>
    </row>
    <row r="984" spans="2:30">
      <c r="B984" s="13">
        <f t="shared" si="382"/>
        <v>4</v>
      </c>
      <c r="C984" s="17" t="s">
        <v>209</v>
      </c>
      <c r="D984" s="39" t="s">
        <v>34</v>
      </c>
      <c r="E984" s="204"/>
      <c r="F984" s="204"/>
      <c r="G984" s="193"/>
      <c r="H984" s="89"/>
      <c r="I984" s="193"/>
      <c r="J984" s="15">
        <v>28125000</v>
      </c>
      <c r="K984" s="99">
        <v>21720000</v>
      </c>
      <c r="L984" s="13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53">
        <v>100</v>
      </c>
      <c r="Z984" s="53">
        <f t="shared" si="383"/>
        <v>94.014732965009202</v>
      </c>
      <c r="AA984" s="22">
        <v>20420000</v>
      </c>
      <c r="AB984" s="19">
        <f t="shared" si="385"/>
        <v>94.014732965009202</v>
      </c>
      <c r="AC984" s="22">
        <f t="shared" si="384"/>
        <v>20420000</v>
      </c>
      <c r="AD984" s="19">
        <f t="shared" si="386"/>
        <v>94.014732965009202</v>
      </c>
    </row>
    <row r="985" spans="2:30" ht="27">
      <c r="B985" s="13">
        <f t="shared" si="382"/>
        <v>5</v>
      </c>
      <c r="C985" s="17" t="s">
        <v>1777</v>
      </c>
      <c r="D985" s="39" t="s">
        <v>1768</v>
      </c>
      <c r="E985" s="204"/>
      <c r="F985" s="204"/>
      <c r="G985" s="193"/>
      <c r="H985" s="89"/>
      <c r="I985" s="193"/>
      <c r="J985" s="15">
        <v>101988000</v>
      </c>
      <c r="K985" s="99">
        <v>128509000</v>
      </c>
      <c r="L985" s="13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53">
        <v>100</v>
      </c>
      <c r="Z985" s="53">
        <f t="shared" si="383"/>
        <v>74.25134115120342</v>
      </c>
      <c r="AA985" s="22">
        <v>95419656</v>
      </c>
      <c r="AB985" s="19">
        <f t="shared" si="385"/>
        <v>74.25134115120342</v>
      </c>
      <c r="AC985" s="22">
        <f t="shared" si="384"/>
        <v>95419656</v>
      </c>
      <c r="AD985" s="19">
        <f t="shared" si="386"/>
        <v>74.25134115120342</v>
      </c>
    </row>
    <row r="986" spans="2:30">
      <c r="B986" s="45">
        <f t="shared" si="382"/>
        <v>6</v>
      </c>
      <c r="C986" s="44" t="s">
        <v>1778</v>
      </c>
      <c r="D986" s="78" t="s">
        <v>252</v>
      </c>
      <c r="E986" s="489"/>
      <c r="F986" s="489"/>
      <c r="G986" s="240"/>
      <c r="H986" s="186"/>
      <c r="I986" s="240"/>
      <c r="J986" s="15">
        <v>21492000</v>
      </c>
      <c r="K986" s="99">
        <v>21492000</v>
      </c>
      <c r="L986" s="45"/>
      <c r="M986" s="44" t="s">
        <v>1</v>
      </c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55">
        <v>100</v>
      </c>
      <c r="Z986" s="55">
        <f t="shared" si="383"/>
        <v>35.35217755443886</v>
      </c>
      <c r="AA986" s="73">
        <v>7597890</v>
      </c>
      <c r="AB986" s="19">
        <f t="shared" si="385"/>
        <v>35.35217755443886</v>
      </c>
      <c r="AC986" s="73">
        <f t="shared" si="384"/>
        <v>7597890</v>
      </c>
      <c r="AD986" s="19">
        <f t="shared" si="386"/>
        <v>35.35217755443886</v>
      </c>
    </row>
    <row r="987" spans="2:30">
      <c r="B987" s="45">
        <f t="shared" si="382"/>
        <v>7</v>
      </c>
      <c r="C987" s="58" t="s">
        <v>354</v>
      </c>
      <c r="D987" s="389" t="s">
        <v>1772</v>
      </c>
      <c r="E987" s="204"/>
      <c r="F987" s="204"/>
      <c r="G987" s="193"/>
      <c r="H987" s="89"/>
      <c r="I987" s="193"/>
      <c r="J987" s="15">
        <v>1407240000</v>
      </c>
      <c r="K987" s="99">
        <v>1537625000</v>
      </c>
      <c r="L987" s="13"/>
      <c r="M987" s="17"/>
      <c r="N987" s="17"/>
      <c r="O987" s="17"/>
      <c r="P987" s="17"/>
      <c r="Q987" s="17"/>
      <c r="R987" s="44"/>
      <c r="S987" s="44"/>
      <c r="T987" s="44"/>
      <c r="U987" s="44"/>
      <c r="V987" s="44"/>
      <c r="W987" s="44"/>
      <c r="X987" s="44"/>
      <c r="Y987" s="55">
        <v>100</v>
      </c>
      <c r="Z987" s="55">
        <f t="shared" si="383"/>
        <v>87.595453637915625</v>
      </c>
      <c r="AA987" s="22">
        <v>1346889594</v>
      </c>
      <c r="AB987" s="19">
        <f t="shared" si="385"/>
        <v>87.595453637915625</v>
      </c>
      <c r="AC987" s="73">
        <f t="shared" si="384"/>
        <v>1346889594</v>
      </c>
      <c r="AD987" s="19">
        <f t="shared" si="386"/>
        <v>87.595453637915625</v>
      </c>
    </row>
    <row r="988" spans="2:30" ht="25.5">
      <c r="B988" s="45">
        <f t="shared" si="382"/>
        <v>8</v>
      </c>
      <c r="C988" s="60" t="s">
        <v>355</v>
      </c>
      <c r="D988" s="390" t="s">
        <v>1773</v>
      </c>
      <c r="E988" s="507"/>
      <c r="F988" s="489"/>
      <c r="G988" s="240"/>
      <c r="H988" s="186"/>
      <c r="I988" s="240"/>
      <c r="J988" s="15">
        <v>32760000</v>
      </c>
      <c r="K988" s="99">
        <v>40783000</v>
      </c>
      <c r="L988" s="32"/>
      <c r="M988" s="33"/>
      <c r="N988" s="33"/>
      <c r="O988" s="33"/>
      <c r="P988" s="33"/>
      <c r="Q988" s="33"/>
      <c r="R988" s="44"/>
      <c r="S988" s="44"/>
      <c r="T988" s="44"/>
      <c r="U988" s="44"/>
      <c r="V988" s="44"/>
      <c r="W988" s="44"/>
      <c r="X988" s="44"/>
      <c r="Y988" s="55">
        <v>100</v>
      </c>
      <c r="Z988" s="55">
        <f t="shared" si="383"/>
        <v>24.017360174582546</v>
      </c>
      <c r="AA988" s="325">
        <v>9795000</v>
      </c>
      <c r="AB988" s="19">
        <f t="shared" si="385"/>
        <v>24.017360174582546</v>
      </c>
      <c r="AC988" s="73">
        <f t="shared" si="384"/>
        <v>9795000</v>
      </c>
      <c r="AD988" s="19">
        <f t="shared" si="386"/>
        <v>24.017360174582546</v>
      </c>
    </row>
    <row r="989" spans="2:30">
      <c r="B989" s="37">
        <v>114</v>
      </c>
      <c r="C989" s="855" t="s">
        <v>1822</v>
      </c>
      <c r="D989" s="855"/>
      <c r="E989" s="483"/>
      <c r="F989" s="483">
        <v>8</v>
      </c>
      <c r="G989" s="468"/>
      <c r="H989" s="526"/>
      <c r="I989" s="468"/>
      <c r="J989" s="35">
        <f>SUM(J981:J988)</f>
        <v>1674743000</v>
      </c>
      <c r="K989" s="35">
        <f>SUM(K981:K988)</f>
        <v>1836378000</v>
      </c>
      <c r="L989" s="37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82">
        <f>SUM(Y981:Y988)/8</f>
        <v>100</v>
      </c>
      <c r="Z989" s="82">
        <f>SUM(Z981:Z988)/8</f>
        <v>63.604078882330789</v>
      </c>
      <c r="AA989" s="67">
        <f>SUM(AA981:AA988)</f>
        <v>1539277167</v>
      </c>
      <c r="AB989" s="82">
        <f>SUM(AB981:AB988)/8</f>
        <v>63.604078882330789</v>
      </c>
      <c r="AC989" s="67">
        <f>SUM(AC981:AC988)</f>
        <v>1539277167</v>
      </c>
      <c r="AD989" s="82">
        <f>SUM(AD981:AD988)/8</f>
        <v>63.604078882330789</v>
      </c>
    </row>
    <row r="990" spans="2:30">
      <c r="B990" s="66"/>
      <c r="C990" s="63" t="s">
        <v>304</v>
      </c>
      <c r="D990" s="118" t="s">
        <v>1823</v>
      </c>
      <c r="E990" s="484"/>
      <c r="F990" s="484"/>
      <c r="G990" s="472"/>
      <c r="H990" s="242"/>
      <c r="I990" s="472"/>
      <c r="J990" s="65"/>
      <c r="K990" s="65"/>
      <c r="L990" s="66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2:30">
      <c r="B991" s="13">
        <f t="shared" ref="B991:B998" si="387">B990+1</f>
        <v>1</v>
      </c>
      <c r="C991" s="17" t="s">
        <v>206</v>
      </c>
      <c r="D991" s="39" t="s">
        <v>28</v>
      </c>
      <c r="E991" s="204"/>
      <c r="F991" s="204"/>
      <c r="G991" s="193"/>
      <c r="H991" s="89"/>
      <c r="I991" s="193"/>
      <c r="J991" s="15">
        <v>73499000</v>
      </c>
      <c r="K991" s="99">
        <v>95689000</v>
      </c>
      <c r="L991" s="13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53">
        <f t="shared" ref="Y991:Y998" si="388">AB991</f>
        <v>47.314801074313664</v>
      </c>
      <c r="Z991" s="53">
        <f t="shared" ref="Z991:Z998" si="389">AD991</f>
        <v>47.314801074313664</v>
      </c>
      <c r="AA991" s="53">
        <f>31407900+1650000+6217160+6000000</f>
        <v>45275060</v>
      </c>
      <c r="AB991" s="19">
        <f>AA991/K991*100</f>
        <v>47.314801074313664</v>
      </c>
      <c r="AC991" s="53">
        <f t="shared" ref="AC991:AC998" si="390">AA991</f>
        <v>45275060</v>
      </c>
      <c r="AD991" s="19">
        <f>AC991/K991*100</f>
        <v>47.314801074313664</v>
      </c>
    </row>
    <row r="992" spans="2:30">
      <c r="B992" s="13">
        <f t="shared" si="387"/>
        <v>2</v>
      </c>
      <c r="C992" s="17" t="s">
        <v>207</v>
      </c>
      <c r="D992" s="39" t="s">
        <v>30</v>
      </c>
      <c r="E992" s="204"/>
      <c r="F992" s="204"/>
      <c r="G992" s="193"/>
      <c r="H992" s="89"/>
      <c r="I992" s="193"/>
      <c r="J992" s="15">
        <v>50200000</v>
      </c>
      <c r="K992" s="99">
        <v>50200000</v>
      </c>
      <c r="L992" s="13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53">
        <f t="shared" si="388"/>
        <v>72.081673306772913</v>
      </c>
      <c r="Z992" s="53">
        <f t="shared" si="389"/>
        <v>72.081673306772913</v>
      </c>
      <c r="AA992" s="53">
        <v>36185000</v>
      </c>
      <c r="AB992" s="19">
        <f t="shared" ref="AB992:AB998" si="391">AA992/K992*100</f>
        <v>72.081673306772913</v>
      </c>
      <c r="AC992" s="53">
        <f t="shared" si="390"/>
        <v>36185000</v>
      </c>
      <c r="AD992" s="19">
        <f t="shared" ref="AD992:AD998" si="392">AC992/K992*100</f>
        <v>72.081673306772913</v>
      </c>
    </row>
    <row r="993" spans="2:31">
      <c r="B993" s="13">
        <f t="shared" si="387"/>
        <v>3</v>
      </c>
      <c r="C993" s="17" t="s">
        <v>208</v>
      </c>
      <c r="D993" s="39" t="s">
        <v>32</v>
      </c>
      <c r="E993" s="204"/>
      <c r="F993" s="204"/>
      <c r="G993" s="193"/>
      <c r="H993" s="89"/>
      <c r="I993" s="193"/>
      <c r="J993" s="15">
        <v>43891000</v>
      </c>
      <c r="K993" s="99">
        <v>43891000</v>
      </c>
      <c r="L993" s="13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53">
        <f t="shared" si="388"/>
        <v>74.916497687453017</v>
      </c>
      <c r="Z993" s="53">
        <f t="shared" si="389"/>
        <v>74.916497687453017</v>
      </c>
      <c r="AA993" s="53">
        <f>13607100+19274500</f>
        <v>32881600</v>
      </c>
      <c r="AB993" s="19">
        <f t="shared" si="391"/>
        <v>74.916497687453017</v>
      </c>
      <c r="AC993" s="53">
        <f t="shared" si="390"/>
        <v>32881600</v>
      </c>
      <c r="AD993" s="19">
        <f t="shared" si="392"/>
        <v>74.916497687453017</v>
      </c>
    </row>
    <row r="994" spans="2:31">
      <c r="B994" s="13">
        <f t="shared" si="387"/>
        <v>4</v>
      </c>
      <c r="C994" s="17" t="s">
        <v>209</v>
      </c>
      <c r="D994" s="39" t="s">
        <v>34</v>
      </c>
      <c r="E994" s="204"/>
      <c r="F994" s="204"/>
      <c r="G994" s="193"/>
      <c r="H994" s="89"/>
      <c r="I994" s="193"/>
      <c r="J994" s="15">
        <v>122350000</v>
      </c>
      <c r="K994" s="99">
        <v>117090000</v>
      </c>
      <c r="L994" s="13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53">
        <f t="shared" si="388"/>
        <v>89.944487146639347</v>
      </c>
      <c r="Z994" s="53">
        <f t="shared" si="389"/>
        <v>89.944487146639347</v>
      </c>
      <c r="AA994" s="53">
        <f>42900000+41175000+21241000</f>
        <v>105316000</v>
      </c>
      <c r="AB994" s="19">
        <f t="shared" si="391"/>
        <v>89.944487146639347</v>
      </c>
      <c r="AC994" s="53">
        <f t="shared" si="390"/>
        <v>105316000</v>
      </c>
      <c r="AD994" s="19">
        <f t="shared" si="392"/>
        <v>89.944487146639347</v>
      </c>
    </row>
    <row r="995" spans="2:31" ht="27">
      <c r="B995" s="13">
        <f t="shared" si="387"/>
        <v>5</v>
      </c>
      <c r="C995" s="17" t="s">
        <v>1777</v>
      </c>
      <c r="D995" s="39" t="s">
        <v>1768</v>
      </c>
      <c r="E995" s="204"/>
      <c r="F995" s="204"/>
      <c r="G995" s="193"/>
      <c r="H995" s="89"/>
      <c r="I995" s="193"/>
      <c r="J995" s="15">
        <v>660260000</v>
      </c>
      <c r="K995" s="99">
        <v>667665000</v>
      </c>
      <c r="L995" s="13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53">
        <f t="shared" si="388"/>
        <v>40.523717283368157</v>
      </c>
      <c r="Z995" s="53">
        <f t="shared" si="389"/>
        <v>40.523717283368157</v>
      </c>
      <c r="AA995" s="53">
        <f>119950000+1500000+10525000+138587677</f>
        <v>270562677</v>
      </c>
      <c r="AB995" s="19">
        <f t="shared" si="391"/>
        <v>40.523717283368157</v>
      </c>
      <c r="AC995" s="53">
        <f t="shared" si="390"/>
        <v>270562677</v>
      </c>
      <c r="AD995" s="19">
        <f t="shared" si="392"/>
        <v>40.523717283368157</v>
      </c>
    </row>
    <row r="996" spans="2:31">
      <c r="B996" s="13">
        <f t="shared" si="387"/>
        <v>6</v>
      </c>
      <c r="C996" s="17" t="s">
        <v>1778</v>
      </c>
      <c r="D996" s="39" t="s">
        <v>252</v>
      </c>
      <c r="E996" s="204"/>
      <c r="F996" s="204"/>
      <c r="G996" s="193"/>
      <c r="H996" s="89"/>
      <c r="I996" s="193"/>
      <c r="J996" s="15">
        <v>82031000</v>
      </c>
      <c r="K996" s="99">
        <v>82031000</v>
      </c>
      <c r="L996" s="13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53">
        <f t="shared" si="388"/>
        <v>69.267740244541699</v>
      </c>
      <c r="Z996" s="53">
        <f t="shared" si="389"/>
        <v>69.267740244541699</v>
      </c>
      <c r="AA996" s="53">
        <v>56821020</v>
      </c>
      <c r="AB996" s="19">
        <f t="shared" si="391"/>
        <v>69.267740244541699</v>
      </c>
      <c r="AC996" s="53">
        <f t="shared" si="390"/>
        <v>56821020</v>
      </c>
      <c r="AD996" s="19">
        <f t="shared" si="392"/>
        <v>69.267740244541699</v>
      </c>
    </row>
    <row r="997" spans="2:31">
      <c r="B997" s="13">
        <f t="shared" si="387"/>
        <v>7</v>
      </c>
      <c r="C997" s="58" t="s">
        <v>354</v>
      </c>
      <c r="D997" s="389" t="s">
        <v>1772</v>
      </c>
      <c r="E997" s="204"/>
      <c r="F997" s="204"/>
      <c r="G997" s="193"/>
      <c r="H997" s="89"/>
      <c r="I997" s="193"/>
      <c r="J997" s="15">
        <v>1305121000</v>
      </c>
      <c r="K997" s="99">
        <v>1362960000</v>
      </c>
      <c r="L997" s="13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53">
        <f t="shared" si="388"/>
        <v>80.549513558725124</v>
      </c>
      <c r="Z997" s="53">
        <f t="shared" si="389"/>
        <v>80.549513558725124</v>
      </c>
      <c r="AA997" s="53">
        <v>1097857650</v>
      </c>
      <c r="AB997" s="19">
        <f t="shared" si="391"/>
        <v>80.549513558725124</v>
      </c>
      <c r="AC997" s="53">
        <f t="shared" si="390"/>
        <v>1097857650</v>
      </c>
      <c r="AD997" s="19">
        <f t="shared" si="392"/>
        <v>80.549513558725124</v>
      </c>
    </row>
    <row r="998" spans="2:31" ht="25.5">
      <c r="B998" s="32">
        <f t="shared" si="387"/>
        <v>8</v>
      </c>
      <c r="C998" s="60" t="s">
        <v>355</v>
      </c>
      <c r="D998" s="390" t="s">
        <v>1773</v>
      </c>
      <c r="E998" s="507"/>
      <c r="F998" s="489"/>
      <c r="G998" s="240"/>
      <c r="H998" s="186"/>
      <c r="I998" s="240"/>
      <c r="J998" s="15">
        <v>56879000</v>
      </c>
      <c r="K998" s="99">
        <v>62391000</v>
      </c>
      <c r="L998" s="32"/>
      <c r="M998" s="33"/>
      <c r="N998" s="33"/>
      <c r="O998" s="33"/>
      <c r="P998" s="33"/>
      <c r="Q998" s="33"/>
      <c r="R998" s="44"/>
      <c r="S998" s="44"/>
      <c r="T998" s="44"/>
      <c r="U998" s="44"/>
      <c r="V998" s="44"/>
      <c r="W998" s="44"/>
      <c r="X998" s="44"/>
      <c r="Y998" s="53">
        <f t="shared" si="388"/>
        <v>4.1672677148947761</v>
      </c>
      <c r="Z998" s="53">
        <f t="shared" si="389"/>
        <v>4.1672677148947761</v>
      </c>
      <c r="AA998" s="53">
        <v>2600000</v>
      </c>
      <c r="AB998" s="19">
        <f t="shared" si="391"/>
        <v>4.1672677148947761</v>
      </c>
      <c r="AC998" s="53">
        <f t="shared" si="390"/>
        <v>2600000</v>
      </c>
      <c r="AD998" s="19">
        <f t="shared" si="392"/>
        <v>4.1672677148947761</v>
      </c>
    </row>
    <row r="999" spans="2:31">
      <c r="B999" s="37">
        <v>115</v>
      </c>
      <c r="C999" s="855" t="s">
        <v>1824</v>
      </c>
      <c r="D999" s="855"/>
      <c r="E999" s="483"/>
      <c r="F999" s="483">
        <v>8</v>
      </c>
      <c r="G999" s="468"/>
      <c r="H999" s="526"/>
      <c r="I999" s="468"/>
      <c r="J999" s="35">
        <f>SUM(J991:J998)</f>
        <v>2394231000</v>
      </c>
      <c r="K999" s="35">
        <f>SUM(K991:K998)</f>
        <v>2481917000</v>
      </c>
      <c r="L999" s="37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82">
        <f>SUM(Y991:Y998)/8</f>
        <v>59.845712252088582</v>
      </c>
      <c r="Z999" s="82">
        <f>SUM(Z991:Z998)/8</f>
        <v>59.845712252088582</v>
      </c>
      <c r="AA999" s="35">
        <f>SUM(AA991:AA998)</f>
        <v>1647499007</v>
      </c>
      <c r="AB999" s="82">
        <f>SUM(AB991:AB998)/8</f>
        <v>59.845712252088582</v>
      </c>
      <c r="AC999" s="35">
        <f>SUM(AC991:AC998)</f>
        <v>1647499007</v>
      </c>
      <c r="AD999" s="82">
        <f>SUM(AD991:AD998)/8</f>
        <v>59.845712252088582</v>
      </c>
    </row>
    <row r="1000" spans="2:31">
      <c r="B1000" s="66"/>
      <c r="C1000" s="63" t="s">
        <v>314</v>
      </c>
      <c r="D1000" s="118" t="s">
        <v>1825</v>
      </c>
      <c r="E1000" s="484"/>
      <c r="F1000" s="484"/>
      <c r="G1000" s="472"/>
      <c r="H1000" s="242"/>
      <c r="I1000" s="472"/>
      <c r="J1000" s="65"/>
      <c r="K1000" s="65"/>
      <c r="L1000" s="66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  <row r="1001" spans="2:31">
      <c r="B1001" s="13">
        <f t="shared" ref="B1001:B1008" si="393">B1000+1</f>
        <v>1</v>
      </c>
      <c r="C1001" s="17" t="s">
        <v>206</v>
      </c>
      <c r="D1001" s="39" t="s">
        <v>28</v>
      </c>
      <c r="E1001" s="204"/>
      <c r="F1001" s="204"/>
      <c r="G1001" s="193"/>
      <c r="H1001" s="89"/>
      <c r="I1001" s="193"/>
      <c r="J1001" s="15">
        <v>61233000</v>
      </c>
      <c r="K1001" s="99">
        <v>59273000</v>
      </c>
      <c r="L1001" s="13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53">
        <f t="shared" ref="Y1001:Y1008" si="394">AB1001</f>
        <v>72.010070352437026</v>
      </c>
      <c r="Z1001" s="53">
        <f t="shared" ref="Z1001:Z1008" si="395">AD1001</f>
        <v>72.010070352437026</v>
      </c>
      <c r="AA1001" s="53">
        <v>42682529</v>
      </c>
      <c r="AB1001" s="19">
        <f>AA1001/K1001*100</f>
        <v>72.010070352437026</v>
      </c>
      <c r="AC1001" s="53">
        <f>AA1001</f>
        <v>42682529</v>
      </c>
      <c r="AD1001" s="19">
        <f>AC1001/K1001*100</f>
        <v>72.010070352437026</v>
      </c>
    </row>
    <row r="1002" spans="2:31">
      <c r="B1002" s="13">
        <f t="shared" si="393"/>
        <v>2</v>
      </c>
      <c r="C1002" s="17" t="s">
        <v>207</v>
      </c>
      <c r="D1002" s="39" t="s">
        <v>30</v>
      </c>
      <c r="E1002" s="204"/>
      <c r="F1002" s="204"/>
      <c r="G1002" s="193"/>
      <c r="H1002" s="89"/>
      <c r="I1002" s="193"/>
      <c r="J1002" s="15">
        <v>21570000</v>
      </c>
      <c r="K1002" s="99">
        <v>23490000</v>
      </c>
      <c r="L1002" s="13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53">
        <f t="shared" si="394"/>
        <v>69.401873137505319</v>
      </c>
      <c r="Z1002" s="53">
        <f t="shared" si="395"/>
        <v>69.401873137505319</v>
      </c>
      <c r="AA1002" s="53">
        <v>16302500</v>
      </c>
      <c r="AB1002" s="19">
        <f t="shared" ref="AB1002:AB1008" si="396">AA1002/K1002*100</f>
        <v>69.401873137505319</v>
      </c>
      <c r="AC1002" s="53">
        <f t="shared" ref="AC1002:AC1008" si="397">AA1002</f>
        <v>16302500</v>
      </c>
      <c r="AD1002" s="19">
        <f t="shared" ref="AD1002:AD1008" si="398">AC1002/K1002*100</f>
        <v>69.401873137505319</v>
      </c>
    </row>
    <row r="1003" spans="2:31">
      <c r="B1003" s="13">
        <f t="shared" si="393"/>
        <v>3</v>
      </c>
      <c r="C1003" s="17" t="s">
        <v>208</v>
      </c>
      <c r="D1003" s="39" t="s">
        <v>32</v>
      </c>
      <c r="E1003" s="204"/>
      <c r="F1003" s="204"/>
      <c r="G1003" s="193"/>
      <c r="H1003" s="89"/>
      <c r="I1003" s="193"/>
      <c r="J1003" s="15">
        <v>94741000</v>
      </c>
      <c r="K1003" s="99">
        <v>119961000</v>
      </c>
      <c r="L1003" s="13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53">
        <f t="shared" si="394"/>
        <v>89.89601120364118</v>
      </c>
      <c r="Z1003" s="53">
        <f t="shared" si="395"/>
        <v>89.89601120364118</v>
      </c>
      <c r="AA1003" s="53">
        <v>107840154</v>
      </c>
      <c r="AB1003" s="19">
        <f t="shared" si="396"/>
        <v>89.89601120364118</v>
      </c>
      <c r="AC1003" s="53">
        <f t="shared" si="397"/>
        <v>107840154</v>
      </c>
      <c r="AD1003" s="19">
        <f t="shared" si="398"/>
        <v>89.89601120364118</v>
      </c>
    </row>
    <row r="1004" spans="2:31">
      <c r="B1004" s="13">
        <f t="shared" si="393"/>
        <v>4</v>
      </c>
      <c r="C1004" s="17" t="s">
        <v>209</v>
      </c>
      <c r="D1004" s="39" t="s">
        <v>34</v>
      </c>
      <c r="E1004" s="204"/>
      <c r="F1004" s="204"/>
      <c r="G1004" s="193"/>
      <c r="H1004" s="89"/>
      <c r="I1004" s="193"/>
      <c r="J1004" s="15">
        <v>55000000</v>
      </c>
      <c r="K1004" s="99">
        <v>75000000</v>
      </c>
      <c r="L1004" s="13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53">
        <f t="shared" si="394"/>
        <v>91.227999999999994</v>
      </c>
      <c r="Z1004" s="53">
        <f t="shared" si="395"/>
        <v>91.227999999999994</v>
      </c>
      <c r="AA1004" s="53">
        <v>68421000</v>
      </c>
      <c r="AB1004" s="19">
        <f t="shared" si="396"/>
        <v>91.227999999999994</v>
      </c>
      <c r="AC1004" s="53">
        <f t="shared" si="397"/>
        <v>68421000</v>
      </c>
      <c r="AD1004" s="19">
        <f t="shared" si="398"/>
        <v>91.227999999999994</v>
      </c>
      <c r="AE1004" s="105"/>
    </row>
    <row r="1005" spans="2:31" ht="27">
      <c r="B1005" s="13">
        <f t="shared" si="393"/>
        <v>5</v>
      </c>
      <c r="C1005" s="17" t="s">
        <v>1777</v>
      </c>
      <c r="D1005" s="39" t="s">
        <v>1768</v>
      </c>
      <c r="E1005" s="204"/>
      <c r="F1005" s="204"/>
      <c r="G1005" s="193"/>
      <c r="H1005" s="89"/>
      <c r="I1005" s="193"/>
      <c r="J1005" s="15">
        <v>415416000</v>
      </c>
      <c r="K1005" s="99">
        <v>414496000</v>
      </c>
      <c r="L1005" s="13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53">
        <f t="shared" si="394"/>
        <v>58.5793071585733</v>
      </c>
      <c r="Z1005" s="53">
        <f t="shared" si="395"/>
        <v>58.5793071585733</v>
      </c>
      <c r="AA1005" s="53">
        <v>242808885</v>
      </c>
      <c r="AB1005" s="19">
        <f t="shared" si="396"/>
        <v>58.5793071585733</v>
      </c>
      <c r="AC1005" s="53">
        <f t="shared" si="397"/>
        <v>242808885</v>
      </c>
      <c r="AD1005" s="19">
        <f t="shared" si="398"/>
        <v>58.5793071585733</v>
      </c>
      <c r="AE1005" s="105"/>
    </row>
    <row r="1006" spans="2:31">
      <c r="B1006" s="45">
        <f t="shared" si="393"/>
        <v>6</v>
      </c>
      <c r="C1006" s="44" t="s">
        <v>1778</v>
      </c>
      <c r="D1006" s="78" t="s">
        <v>252</v>
      </c>
      <c r="E1006" s="489"/>
      <c r="F1006" s="489"/>
      <c r="G1006" s="240"/>
      <c r="H1006" s="186"/>
      <c r="I1006" s="240"/>
      <c r="J1006" s="15">
        <v>85783000</v>
      </c>
      <c r="K1006" s="99">
        <v>85783000</v>
      </c>
      <c r="L1006" s="45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55">
        <f t="shared" si="394"/>
        <v>51.57705489432638</v>
      </c>
      <c r="Z1006" s="55">
        <f t="shared" si="395"/>
        <v>51.57705489432638</v>
      </c>
      <c r="AA1006" s="55">
        <v>44244345</v>
      </c>
      <c r="AB1006" s="19">
        <f t="shared" si="396"/>
        <v>51.57705489432638</v>
      </c>
      <c r="AC1006" s="55">
        <f t="shared" si="397"/>
        <v>44244345</v>
      </c>
      <c r="AD1006" s="19">
        <f t="shared" si="398"/>
        <v>51.57705489432638</v>
      </c>
    </row>
    <row r="1007" spans="2:31">
      <c r="B1007" s="13">
        <f t="shared" si="393"/>
        <v>7</v>
      </c>
      <c r="C1007" s="58" t="s">
        <v>354</v>
      </c>
      <c r="D1007" s="389" t="s">
        <v>1772</v>
      </c>
      <c r="E1007" s="204"/>
      <c r="F1007" s="204"/>
      <c r="G1007" s="193"/>
      <c r="H1007" s="89"/>
      <c r="I1007" s="193"/>
      <c r="J1007" s="15">
        <v>2079773000</v>
      </c>
      <c r="K1007" s="99">
        <v>2484425000</v>
      </c>
      <c r="L1007" s="13"/>
      <c r="M1007" s="17"/>
      <c r="N1007" s="17"/>
      <c r="O1007" s="17"/>
      <c r="P1007" s="17"/>
      <c r="Q1007" s="17"/>
      <c r="R1007" s="44"/>
      <c r="S1007" s="44"/>
      <c r="T1007" s="44"/>
      <c r="U1007" s="44"/>
      <c r="V1007" s="44"/>
      <c r="W1007" s="44"/>
      <c r="X1007" s="44"/>
      <c r="Y1007" s="55">
        <f t="shared" si="394"/>
        <v>74.071005121909494</v>
      </c>
      <c r="Z1007" s="55">
        <f t="shared" si="395"/>
        <v>74.071005121909494</v>
      </c>
      <c r="AA1007" s="53">
        <v>1840238569</v>
      </c>
      <c r="AB1007" s="19">
        <f t="shared" si="396"/>
        <v>74.071005121909494</v>
      </c>
      <c r="AC1007" s="55">
        <f t="shared" si="397"/>
        <v>1840238569</v>
      </c>
      <c r="AD1007" s="19">
        <f t="shared" si="398"/>
        <v>74.071005121909494</v>
      </c>
    </row>
    <row r="1008" spans="2:31" ht="25.5">
      <c r="B1008" s="32">
        <f t="shared" si="393"/>
        <v>8</v>
      </c>
      <c r="C1008" s="60" t="s">
        <v>355</v>
      </c>
      <c r="D1008" s="390" t="s">
        <v>1773</v>
      </c>
      <c r="E1008" s="507"/>
      <c r="F1008" s="489"/>
      <c r="G1008" s="240"/>
      <c r="H1008" s="186"/>
      <c r="I1008" s="240"/>
      <c r="J1008" s="15">
        <v>320227000</v>
      </c>
      <c r="K1008" s="99">
        <v>316367000</v>
      </c>
      <c r="L1008" s="32"/>
      <c r="M1008" s="33"/>
      <c r="N1008" s="33"/>
      <c r="O1008" s="33"/>
      <c r="P1008" s="33"/>
      <c r="Q1008" s="33"/>
      <c r="R1008" s="44"/>
      <c r="S1008" s="44"/>
      <c r="T1008" s="44"/>
      <c r="U1008" s="44"/>
      <c r="V1008" s="44"/>
      <c r="W1008" s="44"/>
      <c r="X1008" s="44"/>
      <c r="Y1008" s="55">
        <f t="shared" si="394"/>
        <v>13.546924932119975</v>
      </c>
      <c r="Z1008" s="55">
        <f t="shared" si="395"/>
        <v>13.546924932119975</v>
      </c>
      <c r="AA1008" s="56">
        <v>42858000</v>
      </c>
      <c r="AB1008" s="19">
        <f t="shared" si="396"/>
        <v>13.546924932119975</v>
      </c>
      <c r="AC1008" s="55">
        <f t="shared" si="397"/>
        <v>42858000</v>
      </c>
      <c r="AD1008" s="19">
        <f t="shared" si="398"/>
        <v>13.546924932119975</v>
      </c>
    </row>
    <row r="1009" spans="2:30">
      <c r="B1009" s="37">
        <v>116</v>
      </c>
      <c r="C1009" s="855" t="s">
        <v>1826</v>
      </c>
      <c r="D1009" s="855"/>
      <c r="E1009" s="483"/>
      <c r="F1009" s="483">
        <v>8</v>
      </c>
      <c r="G1009" s="468"/>
      <c r="H1009" s="526"/>
      <c r="I1009" s="468"/>
      <c r="J1009" s="35">
        <f>SUM(J1001:J1008)</f>
        <v>3133743000</v>
      </c>
      <c r="K1009" s="35">
        <f>SUM(K1001:K1008)</f>
        <v>3578795000</v>
      </c>
      <c r="L1009" s="37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82">
        <f>SUM(Y1001:Y1008)/8</f>
        <v>65.038780850064086</v>
      </c>
      <c r="Z1009" s="82">
        <f>SUM(Z1001:Z1008)/8</f>
        <v>65.038780850064086</v>
      </c>
      <c r="AA1009" s="35">
        <f>SUM(AA1001:AA1008)</f>
        <v>2405395982</v>
      </c>
      <c r="AB1009" s="82">
        <f>SUM(AB1001:AB1008)/8</f>
        <v>65.038780850064086</v>
      </c>
      <c r="AC1009" s="35">
        <f>SUM(AC1001:AC1008)</f>
        <v>2405395982</v>
      </c>
      <c r="AD1009" s="82">
        <f>SUM(AD1001:AD1008)/8</f>
        <v>65.038780850064086</v>
      </c>
    </row>
    <row r="1010" spans="2:30">
      <c r="B1010" s="66"/>
      <c r="C1010" s="63" t="s">
        <v>1827</v>
      </c>
      <c r="D1010" s="118" t="s">
        <v>1828</v>
      </c>
      <c r="E1010" s="484"/>
      <c r="F1010" s="484"/>
      <c r="G1010" s="472"/>
      <c r="H1010" s="242"/>
      <c r="I1010" s="472"/>
      <c r="J1010" s="65"/>
      <c r="K1010" s="65"/>
      <c r="L1010" s="66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</row>
    <row r="1011" spans="2:30">
      <c r="B1011" s="13">
        <f t="shared" ref="B1011:B1018" si="399">B1010+1</f>
        <v>1</v>
      </c>
      <c r="C1011" s="17" t="s">
        <v>206</v>
      </c>
      <c r="D1011" s="39" t="s">
        <v>28</v>
      </c>
      <c r="E1011" s="204"/>
      <c r="F1011" s="204"/>
      <c r="G1011" s="193"/>
      <c r="H1011" s="89"/>
      <c r="I1011" s="193"/>
      <c r="J1011" s="15">
        <v>14254000</v>
      </c>
      <c r="K1011" s="99">
        <v>20266000</v>
      </c>
      <c r="L1011" s="13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53">
        <f t="shared" ref="Y1011:Y1018" si="400">AB1011</f>
        <v>77.028757524918575</v>
      </c>
      <c r="Z1011" s="53">
        <f t="shared" ref="Z1011:Z1018" si="401">AD1011</f>
        <v>77.028757524918575</v>
      </c>
      <c r="AA1011" s="53">
        <v>15610648</v>
      </c>
      <c r="AB1011" s="19">
        <f>AA1011/K1011*100</f>
        <v>77.028757524918575</v>
      </c>
      <c r="AC1011" s="53">
        <f t="shared" ref="AC1011:AC1018" si="402">AA1011</f>
        <v>15610648</v>
      </c>
      <c r="AD1011" s="19">
        <f>AC1011/K1011*100</f>
        <v>77.028757524918575</v>
      </c>
    </row>
    <row r="1012" spans="2:30">
      <c r="B1012" s="13">
        <f t="shared" si="399"/>
        <v>2</v>
      </c>
      <c r="C1012" s="17" t="s">
        <v>207</v>
      </c>
      <c r="D1012" s="39" t="s">
        <v>30</v>
      </c>
      <c r="E1012" s="204"/>
      <c r="F1012" s="204"/>
      <c r="G1012" s="193"/>
      <c r="H1012" s="89"/>
      <c r="I1012" s="193"/>
      <c r="J1012" s="15">
        <v>8300000</v>
      </c>
      <c r="K1012" s="99">
        <v>7910000</v>
      </c>
      <c r="L1012" s="13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53">
        <f t="shared" si="400"/>
        <v>75.158027812895071</v>
      </c>
      <c r="Z1012" s="53">
        <f t="shared" si="401"/>
        <v>75.158027812895071</v>
      </c>
      <c r="AA1012" s="53">
        <v>5945000</v>
      </c>
      <c r="AB1012" s="19">
        <f t="shared" ref="AB1012:AB1018" si="403">AA1012/K1012*100</f>
        <v>75.158027812895071</v>
      </c>
      <c r="AC1012" s="53">
        <f t="shared" si="402"/>
        <v>5945000</v>
      </c>
      <c r="AD1012" s="19">
        <f t="shared" ref="AD1012:AD1018" si="404">AC1012/K1012*100</f>
        <v>75.158027812895071</v>
      </c>
    </row>
    <row r="1013" spans="2:30">
      <c r="B1013" s="13">
        <f t="shared" si="399"/>
        <v>3</v>
      </c>
      <c r="C1013" s="17" t="s">
        <v>208</v>
      </c>
      <c r="D1013" s="39" t="s">
        <v>32</v>
      </c>
      <c r="E1013" s="204"/>
      <c r="F1013" s="204"/>
      <c r="G1013" s="193"/>
      <c r="H1013" s="89"/>
      <c r="I1013" s="193"/>
      <c r="J1013" s="15">
        <v>19821000</v>
      </c>
      <c r="K1013" s="99">
        <v>27032000</v>
      </c>
      <c r="L1013" s="13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53">
        <f t="shared" si="400"/>
        <v>37.788384137318729</v>
      </c>
      <c r="Z1013" s="53">
        <f t="shared" si="401"/>
        <v>37.788384137318729</v>
      </c>
      <c r="AA1013" s="53">
        <v>10214956</v>
      </c>
      <c r="AB1013" s="19">
        <f t="shared" si="403"/>
        <v>37.788384137318729</v>
      </c>
      <c r="AC1013" s="53">
        <f t="shared" si="402"/>
        <v>10214956</v>
      </c>
      <c r="AD1013" s="19">
        <f t="shared" si="404"/>
        <v>37.788384137318729</v>
      </c>
    </row>
    <row r="1014" spans="2:30">
      <c r="B1014" s="13">
        <f t="shared" si="399"/>
        <v>4</v>
      </c>
      <c r="C1014" s="17" t="s">
        <v>209</v>
      </c>
      <c r="D1014" s="39" t="s">
        <v>34</v>
      </c>
      <c r="E1014" s="204"/>
      <c r="F1014" s="204"/>
      <c r="G1014" s="193"/>
      <c r="H1014" s="89"/>
      <c r="I1014" s="193"/>
      <c r="J1014" s="15">
        <v>8850000</v>
      </c>
      <c r="K1014" s="99">
        <v>25300000</v>
      </c>
      <c r="L1014" s="13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53">
        <f t="shared" si="400"/>
        <v>81.818181818181827</v>
      </c>
      <c r="Z1014" s="53">
        <f t="shared" si="401"/>
        <v>81.818181818181827</v>
      </c>
      <c r="AA1014" s="53">
        <v>20700000</v>
      </c>
      <c r="AB1014" s="19">
        <f t="shared" si="403"/>
        <v>81.818181818181827</v>
      </c>
      <c r="AC1014" s="53">
        <f t="shared" si="402"/>
        <v>20700000</v>
      </c>
      <c r="AD1014" s="19">
        <f t="shared" si="404"/>
        <v>81.818181818181827</v>
      </c>
    </row>
    <row r="1015" spans="2:30" ht="27">
      <c r="B1015" s="13">
        <f t="shared" si="399"/>
        <v>5</v>
      </c>
      <c r="C1015" s="17" t="s">
        <v>1777</v>
      </c>
      <c r="D1015" s="39" t="s">
        <v>1768</v>
      </c>
      <c r="E1015" s="204"/>
      <c r="F1015" s="204"/>
      <c r="G1015" s="193"/>
      <c r="H1015" s="89"/>
      <c r="I1015" s="193"/>
      <c r="J1015" s="15">
        <v>57025000</v>
      </c>
      <c r="K1015" s="99">
        <v>95538000</v>
      </c>
      <c r="L1015" s="13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53">
        <f t="shared" si="400"/>
        <v>90.582019719902036</v>
      </c>
      <c r="Z1015" s="53">
        <f t="shared" si="401"/>
        <v>90.582019719902036</v>
      </c>
      <c r="AA1015" s="53">
        <v>86540250</v>
      </c>
      <c r="AB1015" s="19">
        <f t="shared" si="403"/>
        <v>90.582019719902036</v>
      </c>
      <c r="AC1015" s="53">
        <f t="shared" si="402"/>
        <v>86540250</v>
      </c>
      <c r="AD1015" s="19">
        <f t="shared" si="404"/>
        <v>90.582019719902036</v>
      </c>
    </row>
    <row r="1016" spans="2:30" ht="19.5" customHeight="1">
      <c r="B1016" s="45">
        <f t="shared" si="399"/>
        <v>6</v>
      </c>
      <c r="C1016" s="44" t="s">
        <v>1778</v>
      </c>
      <c r="D1016" s="78" t="s">
        <v>252</v>
      </c>
      <c r="E1016" s="489"/>
      <c r="F1016" s="489"/>
      <c r="G1016" s="240"/>
      <c r="H1016" s="186"/>
      <c r="I1016" s="240"/>
      <c r="J1016" s="15">
        <v>34893000</v>
      </c>
      <c r="K1016" s="99">
        <v>34893000</v>
      </c>
      <c r="L1016" s="45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55">
        <f t="shared" si="400"/>
        <v>48.663055627203164</v>
      </c>
      <c r="Z1016" s="55">
        <f t="shared" si="401"/>
        <v>48.663055627203164</v>
      </c>
      <c r="AA1016" s="55">
        <v>16980000</v>
      </c>
      <c r="AB1016" s="19">
        <f t="shared" si="403"/>
        <v>48.663055627203164</v>
      </c>
      <c r="AC1016" s="55">
        <f t="shared" si="402"/>
        <v>16980000</v>
      </c>
      <c r="AD1016" s="19">
        <f t="shared" si="404"/>
        <v>48.663055627203164</v>
      </c>
    </row>
    <row r="1017" spans="2:30" ht="17.25" customHeight="1">
      <c r="B1017" s="13">
        <f t="shared" si="399"/>
        <v>7</v>
      </c>
      <c r="C1017" s="58" t="s">
        <v>354</v>
      </c>
      <c r="D1017" s="389" t="s">
        <v>1772</v>
      </c>
      <c r="E1017" s="204"/>
      <c r="F1017" s="204"/>
      <c r="G1017" s="193"/>
      <c r="H1017" s="89"/>
      <c r="I1017" s="193"/>
      <c r="J1017" s="15">
        <v>811235000</v>
      </c>
      <c r="K1017" s="99">
        <v>1057883000</v>
      </c>
      <c r="L1017" s="13"/>
      <c r="M1017" s="17"/>
      <c r="N1017" s="17"/>
      <c r="O1017" s="17"/>
      <c r="P1017" s="17"/>
      <c r="Q1017" s="17"/>
      <c r="R1017" s="44"/>
      <c r="S1017" s="44"/>
      <c r="T1017" s="44"/>
      <c r="U1017" s="44"/>
      <c r="V1017" s="44"/>
      <c r="W1017" s="44"/>
      <c r="X1017" s="44"/>
      <c r="Y1017" s="55">
        <f t="shared" si="400"/>
        <v>71.437205059538726</v>
      </c>
      <c r="Z1017" s="55">
        <f t="shared" si="401"/>
        <v>71.437205059538726</v>
      </c>
      <c r="AA1017" s="55">
        <v>755722048</v>
      </c>
      <c r="AB1017" s="19">
        <f t="shared" si="403"/>
        <v>71.437205059538726</v>
      </c>
      <c r="AC1017" s="55">
        <f t="shared" si="402"/>
        <v>755722048</v>
      </c>
      <c r="AD1017" s="19">
        <f t="shared" si="404"/>
        <v>71.437205059538726</v>
      </c>
    </row>
    <row r="1018" spans="2:30" ht="30.75" customHeight="1">
      <c r="B1018" s="32">
        <f t="shared" si="399"/>
        <v>8</v>
      </c>
      <c r="C1018" s="60" t="s">
        <v>355</v>
      </c>
      <c r="D1018" s="390" t="s">
        <v>1773</v>
      </c>
      <c r="E1018" s="507"/>
      <c r="F1018" s="489"/>
      <c r="G1018" s="240"/>
      <c r="H1018" s="186"/>
      <c r="I1018" s="240"/>
      <c r="J1018" s="15">
        <v>57625000</v>
      </c>
      <c r="K1018" s="99">
        <v>26549000</v>
      </c>
      <c r="L1018" s="32"/>
      <c r="M1018" s="33"/>
      <c r="N1018" s="33"/>
      <c r="O1018" s="33"/>
      <c r="P1018" s="33"/>
      <c r="Q1018" s="33"/>
      <c r="R1018" s="44"/>
      <c r="S1018" s="44"/>
      <c r="T1018" s="44"/>
      <c r="U1018" s="44"/>
      <c r="V1018" s="44"/>
      <c r="W1018" s="44"/>
      <c r="X1018" s="44"/>
      <c r="Y1018" s="55">
        <f t="shared" si="400"/>
        <v>0</v>
      </c>
      <c r="Z1018" s="55">
        <f t="shared" si="401"/>
        <v>0</v>
      </c>
      <c r="AA1018" s="55">
        <v>0</v>
      </c>
      <c r="AB1018" s="19">
        <f t="shared" si="403"/>
        <v>0</v>
      </c>
      <c r="AC1018" s="55">
        <f t="shared" si="402"/>
        <v>0</v>
      </c>
      <c r="AD1018" s="19">
        <f t="shared" si="404"/>
        <v>0</v>
      </c>
    </row>
    <row r="1019" spans="2:30" ht="21" customHeight="1">
      <c r="B1019" s="37">
        <v>117</v>
      </c>
      <c r="C1019" s="855" t="s">
        <v>1829</v>
      </c>
      <c r="D1019" s="855"/>
      <c r="E1019" s="483"/>
      <c r="F1019" s="483">
        <v>8</v>
      </c>
      <c r="G1019" s="468"/>
      <c r="H1019" s="526"/>
      <c r="I1019" s="468"/>
      <c r="J1019" s="35">
        <f>SUM(J1011:J1018)</f>
        <v>1012003000</v>
      </c>
      <c r="K1019" s="35">
        <f>SUM(K1011:K1018)</f>
        <v>1295371000</v>
      </c>
      <c r="L1019" s="37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82">
        <f>SUM(Y1011:Y1018)/8</f>
        <v>60.309453962494771</v>
      </c>
      <c r="Z1019" s="82">
        <f>SUM(Z1011:Z1018)/8</f>
        <v>60.309453962494771</v>
      </c>
      <c r="AA1019" s="35">
        <f>SUM(AA1011:AA1018)</f>
        <v>911712902</v>
      </c>
      <c r="AB1019" s="82">
        <f>SUM(AB1011:AB1018)/8</f>
        <v>60.309453962494771</v>
      </c>
      <c r="AC1019" s="35">
        <f>SUM(AC1011:AC1018)</f>
        <v>911712902</v>
      </c>
      <c r="AD1019" s="82">
        <f>SUM(AD1011:AD1018)/8</f>
        <v>60.309453962494771</v>
      </c>
    </row>
    <row r="1020" spans="2:30">
      <c r="B1020" s="66"/>
      <c r="C1020" s="63" t="s">
        <v>1830</v>
      </c>
      <c r="D1020" s="406" t="s">
        <v>1831</v>
      </c>
      <c r="E1020" s="484"/>
      <c r="F1020" s="484"/>
      <c r="G1020" s="472"/>
      <c r="H1020" s="242"/>
      <c r="I1020" s="472"/>
      <c r="J1020" s="65"/>
      <c r="K1020" s="65"/>
      <c r="L1020" s="66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  <c r="AD1020" s="63"/>
    </row>
    <row r="1021" spans="2:30">
      <c r="B1021" s="13">
        <f>B1020+1</f>
        <v>1</v>
      </c>
      <c r="C1021" s="17" t="s">
        <v>206</v>
      </c>
      <c r="D1021" s="39" t="s">
        <v>28</v>
      </c>
      <c r="E1021" s="204"/>
      <c r="F1021" s="204"/>
      <c r="G1021" s="193"/>
      <c r="H1021" s="89"/>
      <c r="I1021" s="193"/>
      <c r="J1021" s="15">
        <v>37768000</v>
      </c>
      <c r="K1021" s="99">
        <v>42188000</v>
      </c>
      <c r="L1021" s="13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14">
        <f>AB1021</f>
        <v>96.642578458329382</v>
      </c>
      <c r="Z1021" s="98">
        <f>AD1021</f>
        <v>96.642578458329382</v>
      </c>
      <c r="AA1021" s="20">
        <f>11695000+2802950+185900+331000+846000+629000+711500+1373118+902150+12169203+612000+569750+110000+3240000+3094000+1050000+450000</f>
        <v>40771571</v>
      </c>
      <c r="AB1021" s="98">
        <f>AA1021/K1021*100</f>
        <v>96.642578458329382</v>
      </c>
      <c r="AC1021" s="20">
        <f>AA1021</f>
        <v>40771571</v>
      </c>
      <c r="AD1021" s="98">
        <f>AC1021/K1021*100</f>
        <v>96.642578458329382</v>
      </c>
    </row>
    <row r="1022" spans="2:30">
      <c r="B1022" s="13">
        <f>B1021+1</f>
        <v>2</v>
      </c>
      <c r="C1022" s="17" t="s">
        <v>207</v>
      </c>
      <c r="D1022" s="39" t="s">
        <v>30</v>
      </c>
      <c r="E1022" s="204"/>
      <c r="F1022" s="204"/>
      <c r="G1022" s="193"/>
      <c r="H1022" s="89"/>
      <c r="I1022" s="193"/>
      <c r="J1022" s="15">
        <v>1080000</v>
      </c>
      <c r="K1022" s="99">
        <v>1430000</v>
      </c>
      <c r="L1022" s="13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14">
        <f>AB1022</f>
        <v>100</v>
      </c>
      <c r="Z1022" s="98">
        <f>AD1022</f>
        <v>100</v>
      </c>
      <c r="AA1022" s="20">
        <v>1430000</v>
      </c>
      <c r="AB1022" s="98">
        <f t="shared" ref="AB1022:AB1025" si="405">AA1022/K1022*100</f>
        <v>100</v>
      </c>
      <c r="AC1022" s="20">
        <f>AA1022</f>
        <v>1430000</v>
      </c>
      <c r="AD1022" s="98">
        <f t="shared" ref="AD1022:AD1025" si="406">AC1022/K1022*100</f>
        <v>100</v>
      </c>
    </row>
    <row r="1023" spans="2:30">
      <c r="B1023" s="13">
        <f>B1022+1</f>
        <v>3</v>
      </c>
      <c r="C1023" s="17" t="s">
        <v>208</v>
      </c>
      <c r="D1023" s="39" t="s">
        <v>32</v>
      </c>
      <c r="E1023" s="204"/>
      <c r="F1023" s="204"/>
      <c r="G1023" s="193"/>
      <c r="H1023" s="89"/>
      <c r="I1023" s="193"/>
      <c r="J1023" s="15">
        <v>149206000</v>
      </c>
      <c r="K1023" s="99">
        <v>154831000</v>
      </c>
      <c r="L1023" s="13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14">
        <f>AB1023</f>
        <v>99.249084485665023</v>
      </c>
      <c r="Z1023" s="98">
        <f>AD1023</f>
        <v>99.249084485665023</v>
      </c>
      <c r="AA1023" s="20">
        <f>105675000+26995350+8198000+12800000</f>
        <v>153668350</v>
      </c>
      <c r="AB1023" s="98">
        <f t="shared" si="405"/>
        <v>99.249084485665023</v>
      </c>
      <c r="AC1023" s="20">
        <f>AA1023</f>
        <v>153668350</v>
      </c>
      <c r="AD1023" s="98">
        <f t="shared" si="406"/>
        <v>99.249084485665023</v>
      </c>
    </row>
    <row r="1024" spans="2:30">
      <c r="B1024" s="13">
        <f>B1023+1</f>
        <v>4</v>
      </c>
      <c r="C1024" s="17" t="s">
        <v>209</v>
      </c>
      <c r="D1024" s="39" t="s">
        <v>34</v>
      </c>
      <c r="E1024" s="204"/>
      <c r="F1024" s="204"/>
      <c r="G1024" s="193"/>
      <c r="H1024" s="89"/>
      <c r="I1024" s="193"/>
      <c r="J1024" s="15">
        <v>45957000</v>
      </c>
      <c r="K1024" s="99">
        <v>52318000</v>
      </c>
      <c r="L1024" s="13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14">
        <f>AB1024</f>
        <v>98.540284414541844</v>
      </c>
      <c r="Z1024" s="98">
        <f>AD1024</f>
        <v>98.540284414541844</v>
      </c>
      <c r="AA1024" s="20">
        <f>3918181+5000000+8000000+1185000+6000000+3540125+20050000+3861000</f>
        <v>51554306</v>
      </c>
      <c r="AB1024" s="98">
        <f t="shared" si="405"/>
        <v>98.540284414541844</v>
      </c>
      <c r="AC1024" s="20">
        <f>AA1024</f>
        <v>51554306</v>
      </c>
      <c r="AD1024" s="98">
        <f t="shared" si="406"/>
        <v>98.540284414541844</v>
      </c>
    </row>
    <row r="1025" spans="1:34" ht="27">
      <c r="B1025" s="45">
        <f>B1024+1</f>
        <v>5</v>
      </c>
      <c r="C1025" s="44" t="s">
        <v>1777</v>
      </c>
      <c r="D1025" s="78" t="s">
        <v>1768</v>
      </c>
      <c r="E1025" s="489"/>
      <c r="F1025" s="489"/>
      <c r="G1025" s="240"/>
      <c r="H1025" s="186"/>
      <c r="I1025" s="240"/>
      <c r="J1025" s="15">
        <v>465989000</v>
      </c>
      <c r="K1025" s="99">
        <v>552837000</v>
      </c>
      <c r="L1025" s="45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115">
        <f>AB1025</f>
        <v>95.440354932828299</v>
      </c>
      <c r="Z1025" s="101">
        <f>AD1025</f>
        <v>95.440354932828299</v>
      </c>
      <c r="AA1025" s="100">
        <f>180755595+346874000</f>
        <v>527629595</v>
      </c>
      <c r="AB1025" s="98">
        <f t="shared" si="405"/>
        <v>95.440354932828299</v>
      </c>
      <c r="AC1025" s="100">
        <f>AA1025</f>
        <v>527629595</v>
      </c>
      <c r="AD1025" s="98">
        <f t="shared" si="406"/>
        <v>95.440354932828299</v>
      </c>
    </row>
    <row r="1026" spans="1:34">
      <c r="B1026" s="37">
        <v>118</v>
      </c>
      <c r="C1026" s="855" t="s">
        <v>1832</v>
      </c>
      <c r="D1026" s="855"/>
      <c r="E1026" s="483"/>
      <c r="F1026" s="483">
        <v>5</v>
      </c>
      <c r="G1026" s="468"/>
      <c r="H1026" s="526"/>
      <c r="I1026" s="468"/>
      <c r="J1026" s="35">
        <f>SUM(J1021:J1025)</f>
        <v>700000000</v>
      </c>
      <c r="K1026" s="35">
        <f>SUM(K1021:K1025)</f>
        <v>803604000</v>
      </c>
      <c r="L1026" s="37"/>
      <c r="M1026" s="391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82">
        <f>SUM(Y1021:Y1025)/5</f>
        <v>97.974460458272915</v>
      </c>
      <c r="Z1026" s="82">
        <f>SUM(Z1021:Z1025)/5</f>
        <v>97.974460458272915</v>
      </c>
      <c r="AA1026" s="35">
        <f>SUM(AA1021:AA1025)</f>
        <v>775053822</v>
      </c>
      <c r="AB1026" s="82">
        <f>SUM(AB1021:AB1025)/5</f>
        <v>97.974460458272915</v>
      </c>
      <c r="AC1026" s="35">
        <f>SUM(AC1021:AC1025)</f>
        <v>775053822</v>
      </c>
      <c r="AD1026" s="82">
        <f>SUM(AD1021:AD1025)/5</f>
        <v>97.974460458272915</v>
      </c>
    </row>
    <row r="1027" spans="1:34">
      <c r="A1027" s="1">
        <v>1</v>
      </c>
      <c r="B1027" s="66"/>
      <c r="C1027" s="63" t="s">
        <v>356</v>
      </c>
      <c r="D1027" s="118" t="s">
        <v>357</v>
      </c>
      <c r="E1027" s="484"/>
      <c r="F1027" s="563"/>
      <c r="G1027" s="535"/>
      <c r="H1027" s="242">
        <v>2</v>
      </c>
      <c r="I1027" s="535" t="s">
        <v>1845</v>
      </c>
      <c r="J1027" s="127"/>
      <c r="K1027" s="127"/>
      <c r="L1027" s="66"/>
      <c r="M1027" s="159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135"/>
      <c r="AB1027" s="63"/>
      <c r="AC1027" s="63"/>
      <c r="AD1027" s="63"/>
    </row>
    <row r="1028" spans="1:34" ht="15.75">
      <c r="A1028" s="1">
        <v>2</v>
      </c>
      <c r="B1028" s="13"/>
      <c r="C1028" s="160" t="s">
        <v>211</v>
      </c>
      <c r="D1028" s="160" t="s">
        <v>56</v>
      </c>
      <c r="E1028" s="485"/>
      <c r="F1028" s="485"/>
      <c r="G1028" s="441"/>
      <c r="H1028" s="87"/>
      <c r="I1028" s="441"/>
      <c r="J1028" s="16"/>
      <c r="K1028" s="16"/>
      <c r="L1028" s="13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22"/>
      <c r="AB1028" s="17"/>
      <c r="AC1028" s="17"/>
      <c r="AD1028" s="17"/>
      <c r="AF1028" s="105"/>
    </row>
    <row r="1029" spans="1:34">
      <c r="A1029" s="1">
        <v>3</v>
      </c>
      <c r="B1029" s="13">
        <f>B1027+1</f>
        <v>1</v>
      </c>
      <c r="C1029" s="81">
        <v>16.062000000000001</v>
      </c>
      <c r="D1029" s="74" t="s">
        <v>358</v>
      </c>
      <c r="E1029" s="204"/>
      <c r="F1029" s="204">
        <v>1</v>
      </c>
      <c r="G1029" s="535" t="s">
        <v>1845</v>
      </c>
      <c r="H1029" s="89"/>
      <c r="I1029" s="193"/>
      <c r="J1029" s="15">
        <v>400000000</v>
      </c>
      <c r="K1029" s="719">
        <v>287297000</v>
      </c>
      <c r="L1029" s="13"/>
      <c r="M1029" s="22"/>
      <c r="N1029" s="161"/>
      <c r="O1029" s="158"/>
      <c r="P1029" s="17"/>
      <c r="Q1029" s="17"/>
      <c r="R1029" s="17"/>
      <c r="S1029" s="17"/>
      <c r="T1029" s="124">
        <v>1</v>
      </c>
      <c r="U1029" s="124">
        <v>1</v>
      </c>
      <c r="V1029" s="124"/>
      <c r="W1029" s="124"/>
      <c r="X1029" s="124"/>
      <c r="Y1029" s="53">
        <v>100</v>
      </c>
      <c r="Z1029" s="53">
        <v>80</v>
      </c>
      <c r="AA1029" s="22">
        <v>1521000</v>
      </c>
      <c r="AB1029" s="19">
        <f>AA1029/K1029*100</f>
        <v>0.52941729290594752</v>
      </c>
      <c r="AC1029" s="22">
        <f>AA1029</f>
        <v>1521000</v>
      </c>
      <c r="AD1029" s="19">
        <f>AC1029/K1029*100</f>
        <v>0.52941729290594752</v>
      </c>
      <c r="AF1029" s="105"/>
      <c r="AG1029" s="105"/>
    </row>
    <row r="1030" spans="1:34" ht="15.75">
      <c r="A1030" s="1">
        <v>4</v>
      </c>
      <c r="B1030" s="13"/>
      <c r="C1030" s="86" t="s">
        <v>212</v>
      </c>
      <c r="D1030" s="86" t="s">
        <v>106</v>
      </c>
      <c r="E1030" s="485"/>
      <c r="F1030" s="485"/>
      <c r="G1030" s="535" t="s">
        <v>1845</v>
      </c>
      <c r="H1030" s="87"/>
      <c r="I1030" s="441" t="s">
        <v>1</v>
      </c>
      <c r="J1030" s="130"/>
      <c r="K1030" s="720"/>
      <c r="L1030" s="13"/>
      <c r="M1030" s="17"/>
      <c r="N1030" s="17"/>
      <c r="O1030" s="17"/>
      <c r="P1030" s="17"/>
      <c r="Q1030" s="17"/>
      <c r="R1030" s="17"/>
      <c r="S1030" s="17"/>
      <c r="T1030" s="124"/>
      <c r="U1030" s="124"/>
      <c r="V1030" s="124"/>
      <c r="W1030" s="124"/>
      <c r="X1030" s="124"/>
      <c r="Y1030" s="149"/>
      <c r="Z1030" s="17"/>
      <c r="AA1030" s="22"/>
      <c r="AB1030" s="19"/>
      <c r="AC1030" s="149"/>
      <c r="AD1030" s="19"/>
      <c r="AG1030" s="105"/>
      <c r="AH1030" s="105"/>
    </row>
    <row r="1031" spans="1:34" ht="38.25">
      <c r="A1031" s="1">
        <v>5</v>
      </c>
      <c r="B1031" s="13">
        <f>B1029+1</f>
        <v>2</v>
      </c>
      <c r="C1031" s="81">
        <v>17.062999999999999</v>
      </c>
      <c r="D1031" s="21" t="s">
        <v>359</v>
      </c>
      <c r="E1031" s="204"/>
      <c r="F1031" s="204">
        <v>1</v>
      </c>
      <c r="G1031" s="535" t="s">
        <v>1845</v>
      </c>
      <c r="H1031" s="89"/>
      <c r="I1031" s="193"/>
      <c r="J1031" s="15">
        <v>245180000</v>
      </c>
      <c r="K1031" s="721">
        <v>245180000</v>
      </c>
      <c r="L1031" s="57" t="s">
        <v>1894</v>
      </c>
      <c r="M1031" s="20">
        <v>185260000</v>
      </c>
      <c r="N1031" s="49" t="s">
        <v>1884</v>
      </c>
      <c r="O1031" s="407" t="s">
        <v>1992</v>
      </c>
      <c r="P1031" s="407" t="s">
        <v>1997</v>
      </c>
      <c r="Q1031" s="18"/>
      <c r="R1031" s="18"/>
      <c r="S1031" s="18"/>
      <c r="T1031" s="643">
        <v>1</v>
      </c>
      <c r="U1031" s="643"/>
      <c r="V1031" s="643">
        <v>1</v>
      </c>
      <c r="W1031" s="643"/>
      <c r="X1031" s="643"/>
      <c r="Y1031" s="53">
        <v>100</v>
      </c>
      <c r="Z1031" s="53">
        <v>100</v>
      </c>
      <c r="AA1031" s="22">
        <v>180918500</v>
      </c>
      <c r="AB1031" s="19">
        <f t="shared" ref="AB1031:AB1093" si="407">AA1031/K1031*100</f>
        <v>73.790072599722663</v>
      </c>
      <c r="AC1031" s="22">
        <f>AA1031</f>
        <v>180918500</v>
      </c>
      <c r="AD1031" s="19">
        <f t="shared" ref="AD1031:AD1093" si="408">AC1031/K1031*100</f>
        <v>73.790072599722663</v>
      </c>
      <c r="AG1031" s="105"/>
      <c r="AH1031" s="105"/>
    </row>
    <row r="1032" spans="1:34" ht="27">
      <c r="A1032" s="1">
        <v>6</v>
      </c>
      <c r="B1032" s="97"/>
      <c r="C1032" s="86" t="s">
        <v>356</v>
      </c>
      <c r="D1032" s="86" t="s">
        <v>26</v>
      </c>
      <c r="E1032" s="485"/>
      <c r="F1032" s="485"/>
      <c r="G1032" s="535"/>
      <c r="H1032" s="87"/>
      <c r="I1032" s="441"/>
      <c r="J1032" s="130"/>
      <c r="K1032" s="720"/>
      <c r="L1032" s="57"/>
      <c r="M1032" s="20"/>
      <c r="N1032" s="408"/>
      <c r="O1032" s="407"/>
      <c r="P1032" s="407"/>
      <c r="Q1032" s="149"/>
      <c r="R1032" s="149"/>
      <c r="S1032" s="149"/>
      <c r="T1032" s="644"/>
      <c r="U1032" s="644"/>
      <c r="V1032" s="644"/>
      <c r="W1032" s="644"/>
      <c r="X1032" s="644"/>
      <c r="Y1032" s="149"/>
      <c r="Z1032" s="17"/>
      <c r="AA1032" s="22"/>
      <c r="AB1032" s="19"/>
      <c r="AC1032" s="149"/>
      <c r="AD1032" s="19"/>
      <c r="AG1032" s="105"/>
      <c r="AH1032" s="105"/>
    </row>
    <row r="1033" spans="1:34">
      <c r="A1033" s="1">
        <v>7</v>
      </c>
      <c r="B1033" s="157">
        <f>B1031+1</f>
        <v>3</v>
      </c>
      <c r="C1033" s="74" t="s">
        <v>203</v>
      </c>
      <c r="D1033" s="74" t="s">
        <v>28</v>
      </c>
      <c r="E1033" s="204"/>
      <c r="F1033" s="204">
        <v>1</v>
      </c>
      <c r="G1033" s="535" t="s">
        <v>1845</v>
      </c>
      <c r="H1033" s="89"/>
      <c r="I1033" s="193"/>
      <c r="J1033" s="15">
        <v>415300000</v>
      </c>
      <c r="K1033" s="721">
        <v>1031230000</v>
      </c>
      <c r="L1033" s="57"/>
      <c r="M1033" s="20"/>
      <c r="N1033" s="408"/>
      <c r="O1033" s="407"/>
      <c r="P1033" s="407"/>
      <c r="Q1033" s="18"/>
      <c r="R1033" s="18"/>
      <c r="S1033" s="18"/>
      <c r="T1033" s="643"/>
      <c r="U1033" s="643"/>
      <c r="V1033" s="643"/>
      <c r="W1033" s="643"/>
      <c r="X1033" s="643"/>
      <c r="Y1033" s="19">
        <v>65</v>
      </c>
      <c r="Z1033" s="19">
        <v>70.400000000000006</v>
      </c>
      <c r="AA1033" s="162">
        <v>725568753</v>
      </c>
      <c r="AB1033" s="19">
        <f t="shared" si="407"/>
        <v>70.359546657874574</v>
      </c>
      <c r="AC1033" s="20">
        <f>AA1033</f>
        <v>725568753</v>
      </c>
      <c r="AD1033" s="19">
        <f t="shared" si="408"/>
        <v>70.359546657874574</v>
      </c>
      <c r="AH1033" s="105"/>
    </row>
    <row r="1034" spans="1:34">
      <c r="A1034" s="1">
        <v>8</v>
      </c>
      <c r="B1034" s="157">
        <f>B1033+1</f>
        <v>4</v>
      </c>
      <c r="C1034" s="74" t="s">
        <v>210</v>
      </c>
      <c r="D1034" s="74" t="s">
        <v>30</v>
      </c>
      <c r="E1034" s="204"/>
      <c r="F1034" s="204">
        <v>1</v>
      </c>
      <c r="G1034" s="535" t="s">
        <v>1845</v>
      </c>
      <c r="H1034" s="89"/>
      <c r="I1034" s="193"/>
      <c r="J1034" s="15">
        <v>65000000</v>
      </c>
      <c r="K1034" s="721">
        <v>65000000</v>
      </c>
      <c r="L1034" s="57"/>
      <c r="M1034" s="20"/>
      <c r="N1034" s="408"/>
      <c r="O1034" s="407"/>
      <c r="P1034" s="407"/>
      <c r="Q1034" s="18"/>
      <c r="R1034" s="18"/>
      <c r="S1034" s="18"/>
      <c r="T1034" s="643"/>
      <c r="U1034" s="643"/>
      <c r="V1034" s="643"/>
      <c r="W1034" s="643"/>
      <c r="X1034" s="643"/>
      <c r="Y1034" s="19">
        <v>97</v>
      </c>
      <c r="Z1034" s="19">
        <v>98.96</v>
      </c>
      <c r="AA1034" s="162">
        <v>64322504</v>
      </c>
      <c r="AB1034" s="19">
        <f t="shared" si="407"/>
        <v>98.957698461538456</v>
      </c>
      <c r="AC1034" s="20">
        <f t="shared" ref="AC1034:AC1104" si="409">AA1034</f>
        <v>64322504</v>
      </c>
      <c r="AD1034" s="19">
        <f t="shared" si="408"/>
        <v>98.957698461538456</v>
      </c>
    </row>
    <row r="1035" spans="1:34">
      <c r="A1035" s="1">
        <v>9</v>
      </c>
      <c r="B1035" s="157">
        <f>B1034+1</f>
        <v>5</v>
      </c>
      <c r="C1035" s="74" t="s">
        <v>204</v>
      </c>
      <c r="D1035" s="74" t="s">
        <v>32</v>
      </c>
      <c r="E1035" s="204"/>
      <c r="F1035" s="204">
        <v>1</v>
      </c>
      <c r="G1035" s="535" t="s">
        <v>1845</v>
      </c>
      <c r="H1035" s="89"/>
      <c r="I1035" s="193"/>
      <c r="J1035" s="15">
        <v>1334000000</v>
      </c>
      <c r="K1035" s="721">
        <v>1406457000</v>
      </c>
      <c r="L1035" s="13"/>
      <c r="M1035" s="17"/>
      <c r="N1035" s="17"/>
      <c r="O1035" s="17"/>
      <c r="P1035" s="17"/>
      <c r="Q1035" s="17"/>
      <c r="R1035" s="17"/>
      <c r="S1035" s="17"/>
      <c r="T1035" s="124"/>
      <c r="U1035" s="124"/>
      <c r="V1035" s="124"/>
      <c r="W1035" s="124"/>
      <c r="X1035" s="124"/>
      <c r="Y1035" s="19">
        <v>80</v>
      </c>
      <c r="Z1035" s="19">
        <v>90</v>
      </c>
      <c r="AA1035" s="22">
        <v>984738350</v>
      </c>
      <c r="AB1035" s="19">
        <f t="shared" si="407"/>
        <v>70.015531935921246</v>
      </c>
      <c r="AC1035" s="20">
        <f t="shared" si="409"/>
        <v>984738350</v>
      </c>
      <c r="AD1035" s="19">
        <f t="shared" si="408"/>
        <v>70.015531935921246</v>
      </c>
    </row>
    <row r="1036" spans="1:34">
      <c r="A1036" s="1">
        <v>10</v>
      </c>
      <c r="B1036" s="13">
        <f>B1035+1</f>
        <v>6</v>
      </c>
      <c r="C1036" s="74" t="s">
        <v>205</v>
      </c>
      <c r="D1036" s="74" t="s">
        <v>34</v>
      </c>
      <c r="E1036" s="204"/>
      <c r="F1036" s="204">
        <v>1</v>
      </c>
      <c r="G1036" s="535" t="s">
        <v>1845</v>
      </c>
      <c r="H1036" s="89"/>
      <c r="I1036" s="193"/>
      <c r="J1036" s="15">
        <v>158600000</v>
      </c>
      <c r="K1036" s="721">
        <v>221100000</v>
      </c>
      <c r="L1036" s="13"/>
      <c r="M1036" s="17"/>
      <c r="N1036" s="17"/>
      <c r="O1036" s="17"/>
      <c r="P1036" s="17"/>
      <c r="Q1036" s="17"/>
      <c r="R1036" s="17"/>
      <c r="S1036" s="17"/>
      <c r="T1036" s="124"/>
      <c r="U1036" s="124"/>
      <c r="V1036" s="124"/>
      <c r="W1036" s="124"/>
      <c r="X1036" s="124"/>
      <c r="Y1036" s="53">
        <v>100</v>
      </c>
      <c r="Z1036" s="53">
        <v>100</v>
      </c>
      <c r="AA1036" s="22">
        <v>211917000</v>
      </c>
      <c r="AB1036" s="19">
        <f t="shared" si="407"/>
        <v>95.846675712347349</v>
      </c>
      <c r="AC1036" s="22">
        <f t="shared" si="409"/>
        <v>211917000</v>
      </c>
      <c r="AD1036" s="19">
        <f t="shared" si="408"/>
        <v>95.846675712347349</v>
      </c>
    </row>
    <row r="1037" spans="1:34">
      <c r="A1037" s="1">
        <v>11</v>
      </c>
      <c r="B1037" s="13">
        <f>B1036+1</f>
        <v>7</v>
      </c>
      <c r="C1037" s="74" t="s">
        <v>215</v>
      </c>
      <c r="D1037" s="74" t="s">
        <v>36</v>
      </c>
      <c r="E1037" s="204"/>
      <c r="F1037" s="204">
        <v>1</v>
      </c>
      <c r="G1037" s="535" t="s">
        <v>1845</v>
      </c>
      <c r="H1037" s="89"/>
      <c r="I1037" s="193"/>
      <c r="J1037" s="15">
        <v>10000000</v>
      </c>
      <c r="K1037" s="721">
        <v>10000000</v>
      </c>
      <c r="L1037" s="13"/>
      <c r="M1037" s="17"/>
      <c r="N1037" s="17"/>
      <c r="O1037" s="17"/>
      <c r="P1037" s="17"/>
      <c r="Q1037" s="17"/>
      <c r="R1037" s="17"/>
      <c r="S1037" s="17"/>
      <c r="T1037" s="124"/>
      <c r="U1037" s="124"/>
      <c r="V1037" s="124"/>
      <c r="W1037" s="124"/>
      <c r="X1037" s="124"/>
      <c r="Y1037" s="53">
        <v>100</v>
      </c>
      <c r="Z1037" s="53">
        <v>100</v>
      </c>
      <c r="AA1037" s="22">
        <v>8899000</v>
      </c>
      <c r="AB1037" s="19">
        <f t="shared" si="407"/>
        <v>88.990000000000009</v>
      </c>
      <c r="AC1037" s="22">
        <f t="shared" si="409"/>
        <v>8899000</v>
      </c>
      <c r="AD1037" s="19">
        <f t="shared" si="408"/>
        <v>88.990000000000009</v>
      </c>
    </row>
    <row r="1038" spans="1:34" ht="27">
      <c r="A1038" s="1">
        <v>12</v>
      </c>
      <c r="B1038" s="13">
        <f t="shared" ref="B1038:B1101" si="410">B1037+1</f>
        <v>8</v>
      </c>
      <c r="C1038" s="74" t="s">
        <v>216</v>
      </c>
      <c r="D1038" s="74" t="s">
        <v>360</v>
      </c>
      <c r="E1038" s="204"/>
      <c r="F1038" s="204">
        <v>1</v>
      </c>
      <c r="G1038" s="535" t="s">
        <v>1845</v>
      </c>
      <c r="H1038" s="89"/>
      <c r="I1038" s="193"/>
      <c r="J1038" s="15">
        <v>10000000</v>
      </c>
      <c r="K1038" s="721">
        <v>8120000</v>
      </c>
      <c r="L1038" s="13"/>
      <c r="M1038" s="17"/>
      <c r="N1038" s="17"/>
      <c r="O1038" s="17"/>
      <c r="P1038" s="17"/>
      <c r="Q1038" s="17"/>
      <c r="R1038" s="17"/>
      <c r="S1038" s="17"/>
      <c r="T1038" s="124"/>
      <c r="U1038" s="124"/>
      <c r="V1038" s="124"/>
      <c r="W1038" s="124"/>
      <c r="X1038" s="124"/>
      <c r="Y1038" s="53">
        <v>100</v>
      </c>
      <c r="Z1038" s="53">
        <v>100</v>
      </c>
      <c r="AA1038" s="22">
        <v>6587675</v>
      </c>
      <c r="AB1038" s="19">
        <f t="shared" si="407"/>
        <v>81.129002463054192</v>
      </c>
      <c r="AC1038" s="53">
        <f t="shared" si="409"/>
        <v>6587675</v>
      </c>
      <c r="AD1038" s="19">
        <f t="shared" si="408"/>
        <v>81.129002463054192</v>
      </c>
    </row>
    <row r="1039" spans="1:34">
      <c r="A1039" s="1">
        <v>13</v>
      </c>
      <c r="B1039" s="13">
        <f>B1038+1</f>
        <v>9</v>
      </c>
      <c r="C1039" s="74" t="s">
        <v>361</v>
      </c>
      <c r="D1039" s="21" t="s">
        <v>362</v>
      </c>
      <c r="E1039" s="204"/>
      <c r="F1039" s="204"/>
      <c r="G1039" s="535"/>
      <c r="H1039" s="89"/>
      <c r="I1039" s="193"/>
      <c r="J1039" s="15">
        <v>80000000</v>
      </c>
      <c r="K1039" s="721">
        <v>80000000</v>
      </c>
      <c r="L1039" s="13"/>
      <c r="M1039" s="17"/>
      <c r="N1039" s="17"/>
      <c r="O1039" s="17"/>
      <c r="P1039" s="17"/>
      <c r="Q1039" s="17"/>
      <c r="R1039" s="17"/>
      <c r="S1039" s="17"/>
      <c r="T1039" s="124"/>
      <c r="U1039" s="124"/>
      <c r="V1039" s="124"/>
      <c r="W1039" s="124"/>
      <c r="X1039" s="124"/>
      <c r="Y1039" s="53">
        <v>98</v>
      </c>
      <c r="Z1039" s="53">
        <v>82</v>
      </c>
      <c r="AA1039" s="22">
        <v>78701000</v>
      </c>
      <c r="AB1039" s="19">
        <f t="shared" si="407"/>
        <v>98.376249999999999</v>
      </c>
      <c r="AC1039" s="22">
        <f t="shared" si="409"/>
        <v>78701000</v>
      </c>
      <c r="AD1039" s="19">
        <f t="shared" si="408"/>
        <v>98.376249999999999</v>
      </c>
    </row>
    <row r="1040" spans="1:34">
      <c r="A1040" s="1">
        <v>14</v>
      </c>
      <c r="B1040" s="13"/>
      <c r="C1040" s="74"/>
      <c r="D1040" s="21" t="s">
        <v>1466</v>
      </c>
      <c r="E1040" s="204"/>
      <c r="F1040" s="204">
        <v>1</v>
      </c>
      <c r="G1040" s="535" t="s">
        <v>1845</v>
      </c>
      <c r="H1040" s="89"/>
      <c r="I1040" s="193"/>
      <c r="J1040" s="15"/>
      <c r="K1040" s="721"/>
      <c r="L1040" s="13"/>
      <c r="M1040" s="17"/>
      <c r="N1040" s="17"/>
      <c r="O1040" s="17"/>
      <c r="P1040" s="17"/>
      <c r="Q1040" s="17"/>
      <c r="R1040" s="17"/>
      <c r="S1040" s="17"/>
      <c r="T1040" s="124"/>
      <c r="U1040" s="124"/>
      <c r="V1040" s="124"/>
      <c r="W1040" s="124"/>
      <c r="X1040" s="124"/>
      <c r="Y1040" s="53"/>
      <c r="Z1040" s="53"/>
      <c r="AA1040" s="22"/>
      <c r="AB1040" s="19"/>
      <c r="AC1040" s="22"/>
      <c r="AD1040" s="19"/>
    </row>
    <row r="1041" spans="1:31">
      <c r="A1041" s="1">
        <v>15</v>
      </c>
      <c r="B1041" s="13"/>
      <c r="C1041" s="74"/>
      <c r="D1041" s="21" t="s">
        <v>1467</v>
      </c>
      <c r="E1041" s="204"/>
      <c r="F1041" s="204">
        <v>1</v>
      </c>
      <c r="G1041" s="535" t="s">
        <v>1845</v>
      </c>
      <c r="H1041" s="89"/>
      <c r="I1041" s="193"/>
      <c r="J1041" s="15"/>
      <c r="K1041" s="721"/>
      <c r="L1041" s="13"/>
      <c r="M1041" s="17"/>
      <c r="N1041" s="17"/>
      <c r="O1041" s="17"/>
      <c r="P1041" s="17"/>
      <c r="Q1041" s="17"/>
      <c r="R1041" s="17"/>
      <c r="S1041" s="17"/>
      <c r="T1041" s="124"/>
      <c r="U1041" s="124"/>
      <c r="V1041" s="124"/>
      <c r="W1041" s="124"/>
      <c r="X1041" s="124"/>
      <c r="Y1041" s="53"/>
      <c r="Z1041" s="53"/>
      <c r="AA1041" s="22"/>
      <c r="AB1041" s="19"/>
      <c r="AC1041" s="22"/>
      <c r="AD1041" s="19"/>
    </row>
    <row r="1042" spans="1:31">
      <c r="A1042" s="1">
        <v>16</v>
      </c>
      <c r="B1042" s="13"/>
      <c r="C1042" s="74"/>
      <c r="D1042" s="21" t="s">
        <v>1468</v>
      </c>
      <c r="E1042" s="204"/>
      <c r="F1042" s="204">
        <v>1</v>
      </c>
      <c r="G1042" s="535" t="s">
        <v>1845</v>
      </c>
      <c r="H1042" s="89"/>
      <c r="I1042" s="193"/>
      <c r="J1042" s="15"/>
      <c r="K1042" s="721"/>
      <c r="L1042" s="13"/>
      <c r="M1042" s="17"/>
      <c r="N1042" s="17"/>
      <c r="O1042" s="17"/>
      <c r="P1042" s="17"/>
      <c r="Q1042" s="17"/>
      <c r="R1042" s="17"/>
      <c r="S1042" s="17"/>
      <c r="T1042" s="124"/>
      <c r="U1042" s="124"/>
      <c r="V1042" s="124"/>
      <c r="W1042" s="124"/>
      <c r="X1042" s="124"/>
      <c r="Y1042" s="53"/>
      <c r="Z1042" s="53"/>
      <c r="AA1042" s="22"/>
      <c r="AB1042" s="19"/>
      <c r="AC1042" s="22"/>
      <c r="AD1042" s="19"/>
    </row>
    <row r="1043" spans="1:31">
      <c r="A1043" s="1">
        <v>17</v>
      </c>
      <c r="B1043" s="13"/>
      <c r="C1043" s="74"/>
      <c r="D1043" s="21" t="s">
        <v>1469</v>
      </c>
      <c r="E1043" s="204"/>
      <c r="F1043" s="204">
        <v>1</v>
      </c>
      <c r="G1043" s="535" t="s">
        <v>1845</v>
      </c>
      <c r="H1043" s="89"/>
      <c r="I1043" s="193"/>
      <c r="J1043" s="15"/>
      <c r="K1043" s="721"/>
      <c r="L1043" s="13"/>
      <c r="M1043" s="17"/>
      <c r="N1043" s="17"/>
      <c r="O1043" s="17"/>
      <c r="P1043" s="17"/>
      <c r="Q1043" s="17"/>
      <c r="R1043" s="17"/>
      <c r="S1043" s="17"/>
      <c r="T1043" s="124"/>
      <c r="U1043" s="124"/>
      <c r="V1043" s="124"/>
      <c r="W1043" s="124"/>
      <c r="X1043" s="124"/>
      <c r="Y1043" s="53"/>
      <c r="Z1043" s="53"/>
      <c r="AA1043" s="22"/>
      <c r="AB1043" s="19"/>
      <c r="AC1043" s="22"/>
      <c r="AD1043" s="19"/>
    </row>
    <row r="1044" spans="1:31">
      <c r="A1044" s="1">
        <v>18</v>
      </c>
      <c r="B1044" s="13">
        <f>B1039+1</f>
        <v>10</v>
      </c>
      <c r="C1044" s="74" t="s">
        <v>363</v>
      </c>
      <c r="D1044" s="21" t="s">
        <v>364</v>
      </c>
      <c r="E1044" s="204"/>
      <c r="F1044" s="204">
        <v>1</v>
      </c>
      <c r="G1044" s="535" t="s">
        <v>1845</v>
      </c>
      <c r="H1044" s="89"/>
      <c r="I1044" s="193"/>
      <c r="J1044" s="15">
        <v>388000000</v>
      </c>
      <c r="K1044" s="721">
        <v>388000000</v>
      </c>
      <c r="L1044" s="13"/>
      <c r="M1044" s="17"/>
      <c r="N1044" s="17"/>
      <c r="O1044" s="17"/>
      <c r="P1044" s="17"/>
      <c r="Q1044" s="17"/>
      <c r="R1044" s="17"/>
      <c r="S1044" s="17"/>
      <c r="T1044" s="124"/>
      <c r="U1044" s="124"/>
      <c r="V1044" s="124"/>
      <c r="W1044" s="124"/>
      <c r="X1044" s="124"/>
      <c r="Y1044" s="53">
        <v>100</v>
      </c>
      <c r="Z1044" s="53">
        <v>100</v>
      </c>
      <c r="AA1044" s="22">
        <v>292701000</v>
      </c>
      <c r="AB1044" s="19">
        <f t="shared" si="407"/>
        <v>75.438402061855669</v>
      </c>
      <c r="AC1044" s="22">
        <f t="shared" si="409"/>
        <v>292701000</v>
      </c>
      <c r="AD1044" s="19">
        <f t="shared" si="408"/>
        <v>75.438402061855669</v>
      </c>
    </row>
    <row r="1045" spans="1:31" ht="27">
      <c r="A1045" s="1">
        <v>19</v>
      </c>
      <c r="B1045" s="13"/>
      <c r="C1045" s="86" t="s">
        <v>365</v>
      </c>
      <c r="D1045" s="86" t="s">
        <v>366</v>
      </c>
      <c r="E1045" s="490"/>
      <c r="F1045" s="204"/>
      <c r="G1045" s="535"/>
      <c r="H1045" s="219"/>
      <c r="I1045" s="477"/>
      <c r="J1045" s="88"/>
      <c r="K1045" s="88"/>
      <c r="L1045" s="13"/>
      <c r="M1045" s="17"/>
      <c r="N1045" s="17"/>
      <c r="O1045" s="17"/>
      <c r="P1045" s="17"/>
      <c r="Q1045" s="17"/>
      <c r="R1045" s="17"/>
      <c r="S1045" s="17"/>
      <c r="T1045" s="124"/>
      <c r="U1045" s="124"/>
      <c r="V1045" s="124"/>
      <c r="W1045" s="124"/>
      <c r="X1045" s="124"/>
      <c r="Y1045" s="20"/>
      <c r="Z1045" s="19"/>
      <c r="AA1045" s="22"/>
      <c r="AB1045" s="19"/>
      <c r="AC1045" s="20"/>
      <c r="AD1045" s="19"/>
    </row>
    <row r="1046" spans="1:31">
      <c r="A1046" s="1">
        <v>20</v>
      </c>
      <c r="B1046" s="13">
        <f>B1044+1</f>
        <v>11</v>
      </c>
      <c r="C1046" s="74" t="s">
        <v>219</v>
      </c>
      <c r="D1046" s="21" t="s">
        <v>367</v>
      </c>
      <c r="E1046" s="204"/>
      <c r="F1046" s="204">
        <v>1</v>
      </c>
      <c r="G1046" s="535" t="s">
        <v>1845</v>
      </c>
      <c r="H1046" s="89"/>
      <c r="I1046" s="193"/>
      <c r="J1046" s="15">
        <v>299250000</v>
      </c>
      <c r="K1046" s="196">
        <v>299250000</v>
      </c>
      <c r="L1046" s="13"/>
      <c r="M1046" s="17"/>
      <c r="N1046" s="17"/>
      <c r="O1046" s="17"/>
      <c r="P1046" s="17"/>
      <c r="Q1046" s="17"/>
      <c r="R1046" s="17"/>
      <c r="S1046" s="17"/>
      <c r="T1046" s="124"/>
      <c r="U1046" s="124"/>
      <c r="V1046" s="124"/>
      <c r="W1046" s="124"/>
      <c r="X1046" s="124"/>
      <c r="Y1046" s="19">
        <v>100</v>
      </c>
      <c r="Z1046" s="19">
        <v>100</v>
      </c>
      <c r="AA1046" s="22">
        <v>292787500</v>
      </c>
      <c r="AB1046" s="19">
        <f t="shared" si="407"/>
        <v>97.840434419381779</v>
      </c>
      <c r="AC1046" s="22">
        <f t="shared" si="409"/>
        <v>292787500</v>
      </c>
      <c r="AD1046" s="19">
        <f t="shared" si="408"/>
        <v>97.840434419381779</v>
      </c>
    </row>
    <row r="1047" spans="1:31">
      <c r="A1047" s="1">
        <v>21</v>
      </c>
      <c r="B1047" s="13">
        <f t="shared" si="410"/>
        <v>12</v>
      </c>
      <c r="C1047" s="74" t="s">
        <v>221</v>
      </c>
      <c r="D1047" s="21" t="s">
        <v>368</v>
      </c>
      <c r="E1047" s="204"/>
      <c r="F1047" s="204">
        <v>1</v>
      </c>
      <c r="G1047" s="535" t="s">
        <v>1845</v>
      </c>
      <c r="H1047" s="89"/>
      <c r="I1047" s="193"/>
      <c r="J1047" s="15">
        <v>2650000000</v>
      </c>
      <c r="K1047" s="721">
        <v>2587543000</v>
      </c>
      <c r="L1047" s="13"/>
      <c r="M1047" s="17" t="s">
        <v>1</v>
      </c>
      <c r="N1047" s="17"/>
      <c r="O1047" s="17"/>
      <c r="P1047" s="17"/>
      <c r="Q1047" s="17"/>
      <c r="R1047" s="17"/>
      <c r="S1047" s="17"/>
      <c r="T1047" s="124"/>
      <c r="U1047" s="124"/>
      <c r="V1047" s="124"/>
      <c r="W1047" s="124"/>
      <c r="X1047" s="124"/>
      <c r="Y1047" s="461">
        <v>100</v>
      </c>
      <c r="Z1047" s="461">
        <v>100</v>
      </c>
      <c r="AA1047" s="22">
        <v>2286870782</v>
      </c>
      <c r="AB1047" s="19">
        <f t="shared" si="407"/>
        <v>88.380010766970827</v>
      </c>
      <c r="AC1047" s="22">
        <f t="shared" si="409"/>
        <v>2286870782</v>
      </c>
      <c r="AD1047" s="19">
        <f t="shared" si="408"/>
        <v>88.380010766970827</v>
      </c>
    </row>
    <row r="1048" spans="1:31">
      <c r="A1048" s="1">
        <v>22</v>
      </c>
      <c r="B1048" s="13">
        <f t="shared" si="410"/>
        <v>13</v>
      </c>
      <c r="C1048" s="81">
        <v>15.013</v>
      </c>
      <c r="D1048" s="21" t="s">
        <v>369</v>
      </c>
      <c r="E1048" s="204"/>
      <c r="F1048" s="204">
        <v>1</v>
      </c>
      <c r="G1048" s="535" t="s">
        <v>1845</v>
      </c>
      <c r="H1048" s="89"/>
      <c r="I1048" s="193"/>
      <c r="J1048" s="15">
        <v>373121000</v>
      </c>
      <c r="K1048" s="721">
        <v>373121000</v>
      </c>
      <c r="L1048" s="13"/>
      <c r="M1048" s="17"/>
      <c r="N1048" s="17"/>
      <c r="O1048" s="17"/>
      <c r="P1048" s="163"/>
      <c r="Q1048" s="17"/>
      <c r="R1048" s="17"/>
      <c r="S1048" s="17"/>
      <c r="T1048" s="124"/>
      <c r="U1048" s="124"/>
      <c r="V1048" s="124"/>
      <c r="W1048" s="124"/>
      <c r="X1048" s="124"/>
      <c r="Y1048" s="53">
        <v>100</v>
      </c>
      <c r="Z1048" s="53">
        <v>100</v>
      </c>
      <c r="AA1048" s="22">
        <v>346221500</v>
      </c>
      <c r="AB1048" s="19">
        <f t="shared" si="407"/>
        <v>92.790676482963974</v>
      </c>
      <c r="AC1048" s="22">
        <f>AA1048</f>
        <v>346221500</v>
      </c>
      <c r="AD1048" s="19">
        <f t="shared" si="408"/>
        <v>92.790676482963974</v>
      </c>
    </row>
    <row r="1049" spans="1:31">
      <c r="A1049" s="1">
        <v>23</v>
      </c>
      <c r="B1049" s="13">
        <f t="shared" si="410"/>
        <v>14</v>
      </c>
      <c r="C1049" s="81">
        <v>15.013999999999999</v>
      </c>
      <c r="D1049" s="21" t="s">
        <v>370</v>
      </c>
      <c r="E1049" s="204"/>
      <c r="F1049" s="204">
        <v>1</v>
      </c>
      <c r="G1049" s="535" t="s">
        <v>1845</v>
      </c>
      <c r="H1049" s="89"/>
      <c r="I1049" s="193"/>
      <c r="J1049" s="15">
        <v>39325000</v>
      </c>
      <c r="K1049" s="721">
        <v>39325000</v>
      </c>
      <c r="L1049" s="13"/>
      <c r="M1049" s="22"/>
      <c r="N1049" s="17"/>
      <c r="O1049" s="17"/>
      <c r="P1049" s="17"/>
      <c r="Q1049" s="17"/>
      <c r="R1049" s="17"/>
      <c r="S1049" s="17"/>
      <c r="T1049" s="124"/>
      <c r="U1049" s="124"/>
      <c r="V1049" s="124"/>
      <c r="W1049" s="124"/>
      <c r="X1049" s="124"/>
      <c r="Y1049" s="53">
        <v>100</v>
      </c>
      <c r="Z1049" s="53">
        <v>100</v>
      </c>
      <c r="AA1049" s="22">
        <v>38964500</v>
      </c>
      <c r="AB1049" s="19">
        <f t="shared" si="407"/>
        <v>99.083280356007634</v>
      </c>
      <c r="AC1049" s="22">
        <f>AA1049</f>
        <v>38964500</v>
      </c>
      <c r="AD1049" s="19">
        <f t="shared" si="408"/>
        <v>99.083280356007634</v>
      </c>
    </row>
    <row r="1050" spans="1:31">
      <c r="A1050" s="1">
        <v>24</v>
      </c>
      <c r="B1050" s="13">
        <f t="shared" si="410"/>
        <v>15</v>
      </c>
      <c r="C1050" s="81">
        <v>15.015000000000001</v>
      </c>
      <c r="D1050" s="21" t="s">
        <v>371</v>
      </c>
      <c r="E1050" s="204"/>
      <c r="F1050" s="204">
        <v>1</v>
      </c>
      <c r="G1050" s="535" t="s">
        <v>1845</v>
      </c>
      <c r="H1050" s="89"/>
      <c r="I1050" s="193"/>
      <c r="J1050" s="15">
        <v>118714000</v>
      </c>
      <c r="K1050" s="721">
        <v>118714000</v>
      </c>
      <c r="L1050" s="13"/>
      <c r="M1050" s="22"/>
      <c r="N1050" s="17"/>
      <c r="O1050" s="17"/>
      <c r="P1050" s="17"/>
      <c r="Q1050" s="17"/>
      <c r="R1050" s="17"/>
      <c r="S1050" s="17"/>
      <c r="T1050" s="124"/>
      <c r="U1050" s="124"/>
      <c r="V1050" s="124"/>
      <c r="W1050" s="124"/>
      <c r="X1050" s="124"/>
      <c r="Y1050" s="53">
        <v>100</v>
      </c>
      <c r="Z1050" s="53">
        <v>100</v>
      </c>
      <c r="AA1050" s="22">
        <v>118713500</v>
      </c>
      <c r="AB1050" s="19">
        <f t="shared" si="407"/>
        <v>99.999578819684288</v>
      </c>
      <c r="AC1050" s="22">
        <f>AA1050</f>
        <v>118713500</v>
      </c>
      <c r="AD1050" s="19">
        <f t="shared" si="408"/>
        <v>99.999578819684288</v>
      </c>
      <c r="AE1050" s="71"/>
    </row>
    <row r="1051" spans="1:31">
      <c r="A1051" s="1">
        <v>25</v>
      </c>
      <c r="B1051" s="13">
        <f t="shared" si="410"/>
        <v>16</v>
      </c>
      <c r="C1051" s="81">
        <v>15.016</v>
      </c>
      <c r="D1051" s="21" t="s">
        <v>372</v>
      </c>
      <c r="E1051" s="204"/>
      <c r="F1051" s="204">
        <v>1</v>
      </c>
      <c r="G1051" s="535" t="s">
        <v>1845</v>
      </c>
      <c r="H1051" s="89"/>
      <c r="I1051" s="193"/>
      <c r="J1051" s="15">
        <v>22000000</v>
      </c>
      <c r="K1051" s="721">
        <v>22000000</v>
      </c>
      <c r="L1051" s="13"/>
      <c r="M1051" s="22"/>
      <c r="N1051" s="18"/>
      <c r="O1051" s="18"/>
      <c r="P1051" s="18"/>
      <c r="Q1051" s="17"/>
      <c r="R1051" s="17"/>
      <c r="S1051" s="17"/>
      <c r="T1051" s="124"/>
      <c r="U1051" s="124"/>
      <c r="V1051" s="124"/>
      <c r="W1051" s="124"/>
      <c r="X1051" s="124"/>
      <c r="Y1051" s="53">
        <v>100</v>
      </c>
      <c r="Z1051" s="53">
        <v>100</v>
      </c>
      <c r="AA1051" s="22">
        <v>21850000</v>
      </c>
      <c r="AB1051" s="19">
        <f t="shared" si="407"/>
        <v>99.318181818181813</v>
      </c>
      <c r="AC1051" s="22">
        <f>AA1051</f>
        <v>21850000</v>
      </c>
      <c r="AD1051" s="19">
        <f t="shared" si="408"/>
        <v>99.318181818181813</v>
      </c>
    </row>
    <row r="1052" spans="1:31" ht="40.5">
      <c r="A1052" s="1">
        <v>26</v>
      </c>
      <c r="B1052" s="13"/>
      <c r="C1052" s="86" t="s">
        <v>373</v>
      </c>
      <c r="D1052" s="86" t="s">
        <v>374</v>
      </c>
      <c r="E1052" s="490"/>
      <c r="F1052" s="204"/>
      <c r="G1052" s="535"/>
      <c r="H1052" s="219"/>
      <c r="I1052" s="477"/>
      <c r="J1052" s="88"/>
      <c r="K1052" s="88"/>
      <c r="L1052" s="13"/>
      <c r="M1052" s="17"/>
      <c r="N1052" s="17"/>
      <c r="O1052" s="17"/>
      <c r="P1052" s="17"/>
      <c r="Q1052" s="17"/>
      <c r="R1052" s="17"/>
      <c r="S1052" s="17"/>
      <c r="T1052" s="124"/>
      <c r="U1052" s="124"/>
      <c r="V1052" s="124"/>
      <c r="W1052" s="124"/>
      <c r="X1052" s="124"/>
      <c r="Y1052" s="17"/>
      <c r="Z1052" s="19"/>
      <c r="AA1052" s="22"/>
      <c r="AB1052" s="19"/>
      <c r="AC1052" s="20">
        <f t="shared" si="409"/>
        <v>0</v>
      </c>
      <c r="AD1052" s="19"/>
    </row>
    <row r="1053" spans="1:31">
      <c r="A1053" s="1">
        <v>27</v>
      </c>
      <c r="B1053" s="13">
        <f>B1051+1</f>
        <v>17</v>
      </c>
      <c r="C1053" s="74" t="s">
        <v>375</v>
      </c>
      <c r="D1053" s="21" t="s">
        <v>376</v>
      </c>
      <c r="E1053" s="204"/>
      <c r="F1053" s="204">
        <v>1</v>
      </c>
      <c r="G1053" s="535" t="s">
        <v>1845</v>
      </c>
      <c r="H1053" s="89"/>
      <c r="I1053" s="193"/>
      <c r="J1053" s="15">
        <v>2250150000</v>
      </c>
      <c r="K1053" s="721">
        <v>3600401000</v>
      </c>
      <c r="L1053" s="13"/>
      <c r="M1053" s="17"/>
      <c r="N1053" s="17"/>
      <c r="O1053" s="17"/>
      <c r="P1053" s="17"/>
      <c r="Q1053" s="17"/>
      <c r="R1053" s="17"/>
      <c r="S1053" s="17"/>
      <c r="T1053" s="124"/>
      <c r="U1053" s="124"/>
      <c r="V1053" s="124"/>
      <c r="W1053" s="124"/>
      <c r="X1053" s="124"/>
      <c r="Y1053" s="53">
        <v>100</v>
      </c>
      <c r="Z1053" s="53">
        <v>100</v>
      </c>
      <c r="AA1053" s="22">
        <v>3129245514</v>
      </c>
      <c r="AB1053" s="19">
        <f t="shared" si="407"/>
        <v>86.913805267802118</v>
      </c>
      <c r="AC1053" s="22">
        <f>AA1053</f>
        <v>3129245514</v>
      </c>
      <c r="AD1053" s="19">
        <f t="shared" si="408"/>
        <v>86.913805267802118</v>
      </c>
    </row>
    <row r="1054" spans="1:31">
      <c r="A1054" s="1">
        <v>28</v>
      </c>
      <c r="B1054" s="13">
        <f t="shared" si="410"/>
        <v>18</v>
      </c>
      <c r="C1054" s="74" t="s">
        <v>377</v>
      </c>
      <c r="D1054" s="21" t="s">
        <v>378</v>
      </c>
      <c r="E1054" s="204"/>
      <c r="F1054" s="204">
        <v>1</v>
      </c>
      <c r="G1054" s="535" t="s">
        <v>1845</v>
      </c>
      <c r="H1054" s="89"/>
      <c r="I1054" s="193"/>
      <c r="J1054" s="15">
        <v>799140000</v>
      </c>
      <c r="K1054" s="721">
        <v>1299140000</v>
      </c>
      <c r="L1054" s="13"/>
      <c r="M1054" s="17"/>
      <c r="N1054" s="17"/>
      <c r="O1054" s="17"/>
      <c r="P1054" s="17"/>
      <c r="Q1054" s="17"/>
      <c r="R1054" s="17"/>
      <c r="S1054" s="17"/>
      <c r="T1054" s="124"/>
      <c r="U1054" s="124"/>
      <c r="V1054" s="124"/>
      <c r="W1054" s="124"/>
      <c r="X1054" s="124"/>
      <c r="Y1054" s="53">
        <v>100</v>
      </c>
      <c r="Z1054" s="53">
        <v>100</v>
      </c>
      <c r="AA1054" s="22">
        <v>1290734000</v>
      </c>
      <c r="AB1054" s="19">
        <f t="shared" si="407"/>
        <v>99.352956571270227</v>
      </c>
      <c r="AC1054" s="22">
        <f>AA1054</f>
        <v>1290734000</v>
      </c>
      <c r="AD1054" s="19">
        <f t="shared" si="408"/>
        <v>99.352956571270227</v>
      </c>
    </row>
    <row r="1055" spans="1:31" ht="63.75">
      <c r="A1055" s="1">
        <v>29</v>
      </c>
      <c r="B1055" s="13">
        <f t="shared" si="410"/>
        <v>19</v>
      </c>
      <c r="C1055" s="74" t="s">
        <v>379</v>
      </c>
      <c r="D1055" s="21" t="s">
        <v>380</v>
      </c>
      <c r="E1055" s="204"/>
      <c r="F1055" s="204">
        <v>1</v>
      </c>
      <c r="G1055" s="535" t="s">
        <v>1845</v>
      </c>
      <c r="H1055" s="89"/>
      <c r="I1055" s="193"/>
      <c r="J1055" s="15">
        <v>12460722000</v>
      </c>
      <c r="K1055" s="721">
        <v>10961412000</v>
      </c>
      <c r="L1055" s="107" t="s">
        <v>1988</v>
      </c>
      <c r="M1055" s="624">
        <v>10900000000</v>
      </c>
      <c r="N1055" s="409" t="s">
        <v>1848</v>
      </c>
      <c r="O1055" s="410" t="s">
        <v>1991</v>
      </c>
      <c r="P1055" s="401" t="s">
        <v>1986</v>
      </c>
      <c r="Q1055" s="18" t="s">
        <v>1987</v>
      </c>
      <c r="R1055" s="18"/>
      <c r="S1055" s="18" t="s">
        <v>1458</v>
      </c>
      <c r="T1055" s="643">
        <v>1</v>
      </c>
      <c r="U1055" s="643"/>
      <c r="V1055" s="643">
        <v>1</v>
      </c>
      <c r="W1055" s="643"/>
      <c r="X1055" s="643"/>
      <c r="Y1055" s="53">
        <v>100</v>
      </c>
      <c r="Z1055" s="53">
        <v>100</v>
      </c>
      <c r="AA1055" s="22">
        <v>10960173250</v>
      </c>
      <c r="AB1055" s="19">
        <f t="shared" si="407"/>
        <v>99.988698992429079</v>
      </c>
      <c r="AC1055" s="83">
        <f>AA1055</f>
        <v>10960173250</v>
      </c>
      <c r="AD1055" s="19">
        <f t="shared" si="408"/>
        <v>99.988698992429079</v>
      </c>
    </row>
    <row r="1056" spans="1:31" ht="38.25">
      <c r="A1056" s="1">
        <v>30</v>
      </c>
      <c r="B1056" s="13">
        <f t="shared" si="410"/>
        <v>20</v>
      </c>
      <c r="C1056" s="123" t="s">
        <v>381</v>
      </c>
      <c r="D1056" s="21" t="s">
        <v>382</v>
      </c>
      <c r="E1056" s="204"/>
      <c r="F1056" s="204">
        <v>1</v>
      </c>
      <c r="G1056" s="535" t="s">
        <v>1845</v>
      </c>
      <c r="H1056" s="89"/>
      <c r="I1056" s="193"/>
      <c r="J1056" s="15">
        <v>1019550000</v>
      </c>
      <c r="K1056" s="721">
        <v>843089000</v>
      </c>
      <c r="L1056" s="57" t="s">
        <v>1894</v>
      </c>
      <c r="M1056" s="25">
        <v>801608000</v>
      </c>
      <c r="N1056" s="409" t="s">
        <v>1851</v>
      </c>
      <c r="O1056" s="401" t="s">
        <v>1990</v>
      </c>
      <c r="P1056" s="401" t="s">
        <v>1989</v>
      </c>
      <c r="Q1056" s="18" t="s">
        <v>1987</v>
      </c>
      <c r="R1056" s="18"/>
      <c r="S1056" s="18" t="s">
        <v>1458</v>
      </c>
      <c r="T1056" s="643">
        <v>1</v>
      </c>
      <c r="U1056" s="643"/>
      <c r="V1056" s="643">
        <v>1</v>
      </c>
      <c r="W1056" s="643"/>
      <c r="X1056" s="643"/>
      <c r="Y1056" s="53">
        <v>100</v>
      </c>
      <c r="Z1056" s="53">
        <v>100</v>
      </c>
      <c r="AA1056" s="22">
        <v>842950000</v>
      </c>
      <c r="AB1056" s="19">
        <f t="shared" si="407"/>
        <v>99.983513009895759</v>
      </c>
      <c r="AC1056" s="83">
        <f>AA1056</f>
        <v>842950000</v>
      </c>
      <c r="AD1056" s="19">
        <f t="shared" si="408"/>
        <v>99.983513009895759</v>
      </c>
    </row>
    <row r="1057" spans="1:30" ht="38.25">
      <c r="A1057" s="1">
        <v>31</v>
      </c>
      <c r="B1057" s="13">
        <f t="shared" si="410"/>
        <v>21</v>
      </c>
      <c r="C1057" s="74" t="s">
        <v>383</v>
      </c>
      <c r="D1057" s="21" t="s">
        <v>384</v>
      </c>
      <c r="E1057" s="204"/>
      <c r="F1057" s="204">
        <v>1</v>
      </c>
      <c r="G1057" s="535" t="s">
        <v>1845</v>
      </c>
      <c r="H1057" s="89"/>
      <c r="I1057" s="193"/>
      <c r="J1057" s="15">
        <v>862492000</v>
      </c>
      <c r="K1057" s="721">
        <v>718474000</v>
      </c>
      <c r="L1057" s="57" t="s">
        <v>1894</v>
      </c>
      <c r="M1057" s="25">
        <v>680000000</v>
      </c>
      <c r="N1057" s="409" t="s">
        <v>1869</v>
      </c>
      <c r="O1057" s="401" t="s">
        <v>1990</v>
      </c>
      <c r="P1057" s="401" t="s">
        <v>1989</v>
      </c>
      <c r="Q1057" s="18" t="s">
        <v>1987</v>
      </c>
      <c r="R1057" s="18"/>
      <c r="S1057" s="18" t="s">
        <v>1458</v>
      </c>
      <c r="T1057" s="643">
        <v>1</v>
      </c>
      <c r="U1057" s="643"/>
      <c r="V1057" s="643">
        <v>1</v>
      </c>
      <c r="W1057" s="643"/>
      <c r="X1057" s="643"/>
      <c r="Y1057" s="17">
        <v>100</v>
      </c>
      <c r="Z1057" s="19">
        <v>100</v>
      </c>
      <c r="AA1057" s="22">
        <v>718439000</v>
      </c>
      <c r="AB1057" s="19">
        <f t="shared" si="407"/>
        <v>99.995128564151244</v>
      </c>
      <c r="AC1057" s="20">
        <f t="shared" si="409"/>
        <v>718439000</v>
      </c>
      <c r="AD1057" s="19">
        <f t="shared" si="408"/>
        <v>99.995128564151244</v>
      </c>
    </row>
    <row r="1058" spans="1:30" ht="76.5">
      <c r="A1058" s="1">
        <v>32</v>
      </c>
      <c r="B1058" s="13">
        <f t="shared" si="410"/>
        <v>22</v>
      </c>
      <c r="C1058" s="74" t="s">
        <v>385</v>
      </c>
      <c r="D1058" s="21" t="s">
        <v>386</v>
      </c>
      <c r="E1058" s="204"/>
      <c r="F1058" s="204">
        <v>1</v>
      </c>
      <c r="G1058" s="535" t="s">
        <v>1845</v>
      </c>
      <c r="H1058" s="89"/>
      <c r="I1058" s="193"/>
      <c r="J1058" s="15">
        <v>4385900000</v>
      </c>
      <c r="K1058" s="721">
        <v>4128977000</v>
      </c>
      <c r="L1058" s="107" t="s">
        <v>1988</v>
      </c>
      <c r="M1058" s="25">
        <v>4023257000</v>
      </c>
      <c r="N1058" s="400" t="s">
        <v>1890</v>
      </c>
      <c r="O1058" s="401" t="s">
        <v>1992</v>
      </c>
      <c r="P1058" s="410" t="s">
        <v>1993</v>
      </c>
      <c r="Q1058" s="18" t="s">
        <v>1987</v>
      </c>
      <c r="R1058" s="18"/>
      <c r="S1058" s="18" t="s">
        <v>1458</v>
      </c>
      <c r="T1058" s="643">
        <v>1</v>
      </c>
      <c r="U1058" s="643"/>
      <c r="V1058" s="643">
        <v>1</v>
      </c>
      <c r="W1058" s="643"/>
      <c r="X1058" s="643"/>
      <c r="Y1058" s="17">
        <v>100</v>
      </c>
      <c r="Z1058" s="19">
        <v>100</v>
      </c>
      <c r="AA1058" s="22">
        <v>4128725300</v>
      </c>
      <c r="AB1058" s="19">
        <f t="shared" si="407"/>
        <v>99.993904059044169</v>
      </c>
      <c r="AC1058" s="20">
        <f t="shared" si="409"/>
        <v>4128725300</v>
      </c>
      <c r="AD1058" s="19">
        <f t="shared" si="408"/>
        <v>99.993904059044169</v>
      </c>
    </row>
    <row r="1059" spans="1:30" ht="38.25">
      <c r="A1059" s="1">
        <v>33</v>
      </c>
      <c r="B1059" s="13">
        <f t="shared" si="410"/>
        <v>23</v>
      </c>
      <c r="C1059" s="81">
        <v>16.010999999999999</v>
      </c>
      <c r="D1059" s="21" t="s">
        <v>387</v>
      </c>
      <c r="E1059" s="204"/>
      <c r="F1059" s="204">
        <v>1</v>
      </c>
      <c r="G1059" s="535" t="s">
        <v>1845</v>
      </c>
      <c r="H1059" s="89"/>
      <c r="I1059" s="193"/>
      <c r="J1059" s="15">
        <v>1250000000</v>
      </c>
      <c r="K1059" s="721">
        <v>1093350000</v>
      </c>
      <c r="L1059" s="57" t="s">
        <v>1894</v>
      </c>
      <c r="M1059" s="624">
        <v>1045999000</v>
      </c>
      <c r="N1059" s="49" t="s">
        <v>1870</v>
      </c>
      <c r="O1059" s="401" t="s">
        <v>1990</v>
      </c>
      <c r="P1059" s="401" t="s">
        <v>1989</v>
      </c>
      <c r="Q1059" s="18" t="s">
        <v>1994</v>
      </c>
      <c r="R1059" s="18"/>
      <c r="S1059" s="18" t="s">
        <v>1458</v>
      </c>
      <c r="T1059" s="643">
        <v>1</v>
      </c>
      <c r="U1059" s="643"/>
      <c r="V1059" s="643">
        <v>1</v>
      </c>
      <c r="W1059" s="643"/>
      <c r="X1059" s="643"/>
      <c r="Y1059" s="17">
        <v>100</v>
      </c>
      <c r="Z1059" s="19">
        <v>100</v>
      </c>
      <c r="AA1059" s="22">
        <v>1092930000</v>
      </c>
      <c r="AB1059" s="19">
        <f t="shared" si="407"/>
        <v>99.961585951433662</v>
      </c>
      <c r="AC1059" s="20">
        <f t="shared" si="409"/>
        <v>1092930000</v>
      </c>
      <c r="AD1059" s="19">
        <f t="shared" si="408"/>
        <v>99.961585951433662</v>
      </c>
    </row>
    <row r="1060" spans="1:30" ht="51">
      <c r="A1060" s="1">
        <v>34</v>
      </c>
      <c r="B1060" s="13">
        <f t="shared" si="410"/>
        <v>24</v>
      </c>
      <c r="C1060" s="74" t="s">
        <v>388</v>
      </c>
      <c r="D1060" s="21" t="s">
        <v>389</v>
      </c>
      <c r="E1060" s="204"/>
      <c r="F1060" s="204">
        <v>1</v>
      </c>
      <c r="G1060" s="535" t="s">
        <v>1845</v>
      </c>
      <c r="H1060" s="89"/>
      <c r="I1060" s="193"/>
      <c r="J1060" s="15">
        <v>383035000</v>
      </c>
      <c r="K1060" s="721">
        <v>383035000</v>
      </c>
      <c r="L1060" s="57" t="s">
        <v>1894</v>
      </c>
      <c r="M1060" s="20">
        <v>269900000</v>
      </c>
      <c r="N1060" s="49" t="s">
        <v>1847</v>
      </c>
      <c r="O1060" s="407" t="s">
        <v>1992</v>
      </c>
      <c r="P1060" s="407" t="s">
        <v>1993</v>
      </c>
      <c r="Q1060" s="18" t="s">
        <v>1994</v>
      </c>
      <c r="R1060" s="18"/>
      <c r="S1060" s="18" t="s">
        <v>1458</v>
      </c>
      <c r="T1060" s="643">
        <v>1</v>
      </c>
      <c r="U1060" s="643"/>
      <c r="V1060" s="643">
        <v>1</v>
      </c>
      <c r="W1060" s="643"/>
      <c r="X1060" s="643"/>
      <c r="Y1060" s="17">
        <v>100</v>
      </c>
      <c r="Z1060" s="19">
        <v>100</v>
      </c>
      <c r="AA1060" s="22">
        <v>287761000</v>
      </c>
      <c r="AB1060" s="19">
        <f t="shared" si="407"/>
        <v>75.12655501455481</v>
      </c>
      <c r="AC1060" s="20">
        <f t="shared" si="409"/>
        <v>287761000</v>
      </c>
      <c r="AD1060" s="19">
        <f t="shared" si="408"/>
        <v>75.12655501455481</v>
      </c>
    </row>
    <row r="1061" spans="1:30" ht="38.25">
      <c r="A1061" s="1">
        <v>35</v>
      </c>
      <c r="B1061" s="13">
        <f t="shared" si="410"/>
        <v>25</v>
      </c>
      <c r="C1061" s="74" t="s">
        <v>390</v>
      </c>
      <c r="D1061" s="21" t="s">
        <v>391</v>
      </c>
      <c r="E1061" s="204"/>
      <c r="F1061" s="204">
        <v>1</v>
      </c>
      <c r="G1061" s="535" t="s">
        <v>1845</v>
      </c>
      <c r="H1061" s="89"/>
      <c r="I1061" s="193"/>
      <c r="J1061" s="15">
        <v>757235000</v>
      </c>
      <c r="K1061" s="721">
        <v>618704000</v>
      </c>
      <c r="L1061" s="57" t="s">
        <v>1894</v>
      </c>
      <c r="M1061" s="25">
        <v>586383000</v>
      </c>
      <c r="N1061" s="49" t="s">
        <v>1863</v>
      </c>
      <c r="O1061" s="401" t="s">
        <v>1990</v>
      </c>
      <c r="P1061" s="412" t="s">
        <v>1995</v>
      </c>
      <c r="Q1061" s="18" t="s">
        <v>1987</v>
      </c>
      <c r="R1061" s="18"/>
      <c r="S1061" s="18" t="s">
        <v>1458</v>
      </c>
      <c r="T1061" s="643">
        <v>1</v>
      </c>
      <c r="U1061" s="643"/>
      <c r="V1061" s="643">
        <v>1</v>
      </c>
      <c r="W1061" s="643"/>
      <c r="X1061" s="643"/>
      <c r="Y1061" s="19">
        <v>100</v>
      </c>
      <c r="Z1061" s="19">
        <v>100</v>
      </c>
      <c r="AA1061" s="22">
        <v>618673000</v>
      </c>
      <c r="AB1061" s="19">
        <f t="shared" si="407"/>
        <v>99.994989526494095</v>
      </c>
      <c r="AC1061" s="20">
        <f t="shared" si="409"/>
        <v>618673000</v>
      </c>
      <c r="AD1061" s="19">
        <f t="shared" si="408"/>
        <v>99.994989526494095</v>
      </c>
    </row>
    <row r="1062" spans="1:30" ht="51">
      <c r="A1062" s="1">
        <v>36</v>
      </c>
      <c r="B1062" s="13">
        <f t="shared" si="410"/>
        <v>26</v>
      </c>
      <c r="C1062" s="74" t="s">
        <v>392</v>
      </c>
      <c r="D1062" s="21" t="s">
        <v>393</v>
      </c>
      <c r="E1062" s="204"/>
      <c r="F1062" s="204">
        <v>1</v>
      </c>
      <c r="G1062" s="535" t="s">
        <v>1845</v>
      </c>
      <c r="H1062" s="89"/>
      <c r="I1062" s="193"/>
      <c r="J1062" s="15">
        <v>609018000</v>
      </c>
      <c r="K1062" s="721">
        <v>609018000</v>
      </c>
      <c r="L1062" s="57" t="s">
        <v>1894</v>
      </c>
      <c r="M1062" s="20">
        <v>490564000</v>
      </c>
      <c r="N1062" s="49" t="s">
        <v>1858</v>
      </c>
      <c r="O1062" s="401" t="s">
        <v>1990</v>
      </c>
      <c r="P1062" s="410" t="s">
        <v>1995</v>
      </c>
      <c r="Q1062" s="18" t="s">
        <v>1987</v>
      </c>
      <c r="R1062" s="18"/>
      <c r="S1062" s="18" t="s">
        <v>1458</v>
      </c>
      <c r="T1062" s="643">
        <v>1</v>
      </c>
      <c r="U1062" s="643"/>
      <c r="V1062" s="643">
        <v>1</v>
      </c>
      <c r="W1062" s="643"/>
      <c r="X1062" s="643"/>
      <c r="Y1062" s="20">
        <v>100</v>
      </c>
      <c r="Z1062" s="19">
        <v>100</v>
      </c>
      <c r="AA1062" s="22">
        <v>516648000</v>
      </c>
      <c r="AB1062" s="19">
        <f t="shared" si="407"/>
        <v>84.832960602149683</v>
      </c>
      <c r="AC1062" s="20">
        <f t="shared" si="409"/>
        <v>516648000</v>
      </c>
      <c r="AD1062" s="19">
        <f t="shared" si="408"/>
        <v>84.832960602149683</v>
      </c>
    </row>
    <row r="1063" spans="1:30">
      <c r="A1063" s="1">
        <v>37</v>
      </c>
      <c r="B1063" s="13">
        <f t="shared" si="410"/>
        <v>27</v>
      </c>
      <c r="C1063" s="74" t="s">
        <v>394</v>
      </c>
      <c r="D1063" s="21" t="s">
        <v>395</v>
      </c>
      <c r="E1063" s="204"/>
      <c r="F1063" s="204">
        <v>1</v>
      </c>
      <c r="G1063" s="535" t="s">
        <v>1845</v>
      </c>
      <c r="H1063" s="89"/>
      <c r="I1063" s="193"/>
      <c r="J1063" s="15">
        <v>1057814000</v>
      </c>
      <c r="K1063" s="721">
        <v>769979000</v>
      </c>
      <c r="L1063" s="57"/>
      <c r="M1063" s="20">
        <v>745000000</v>
      </c>
      <c r="N1063" s="18" t="s">
        <v>1922</v>
      </c>
      <c r="O1063" s="18"/>
      <c r="P1063" s="410"/>
      <c r="Q1063" s="18"/>
      <c r="R1063" s="18"/>
      <c r="S1063" s="18" t="s">
        <v>1458</v>
      </c>
      <c r="T1063" s="643">
        <v>1</v>
      </c>
      <c r="U1063" s="643"/>
      <c r="V1063" s="643">
        <v>1</v>
      </c>
      <c r="W1063" s="643"/>
      <c r="X1063" s="643"/>
      <c r="Y1063" s="20">
        <v>100</v>
      </c>
      <c r="Z1063" s="19">
        <v>100</v>
      </c>
      <c r="AA1063" s="22">
        <v>768288000</v>
      </c>
      <c r="AB1063" s="19">
        <f t="shared" si="407"/>
        <v>99.780383620851993</v>
      </c>
      <c r="AC1063" s="20">
        <f t="shared" si="409"/>
        <v>768288000</v>
      </c>
      <c r="AD1063" s="19">
        <f t="shared" si="408"/>
        <v>99.780383620851993</v>
      </c>
    </row>
    <row r="1064" spans="1:30" ht="38.25">
      <c r="A1064" s="1">
        <v>38</v>
      </c>
      <c r="B1064" s="13">
        <f t="shared" si="410"/>
        <v>28</v>
      </c>
      <c r="C1064" s="74" t="s">
        <v>396</v>
      </c>
      <c r="D1064" s="21" t="s">
        <v>397</v>
      </c>
      <c r="E1064" s="204"/>
      <c r="F1064" s="204">
        <v>1</v>
      </c>
      <c r="G1064" s="535" t="s">
        <v>1845</v>
      </c>
      <c r="H1064" s="89"/>
      <c r="I1064" s="193"/>
      <c r="J1064" s="15">
        <v>881246000</v>
      </c>
      <c r="K1064" s="721">
        <v>881246000</v>
      </c>
      <c r="L1064" s="57" t="s">
        <v>1894</v>
      </c>
      <c r="M1064" s="623">
        <v>727000000</v>
      </c>
      <c r="N1064" s="49" t="s">
        <v>1850</v>
      </c>
      <c r="O1064" s="401" t="s">
        <v>1990</v>
      </c>
      <c r="P1064" s="410" t="s">
        <v>1996</v>
      </c>
      <c r="Q1064" s="18" t="s">
        <v>1994</v>
      </c>
      <c r="R1064" s="18"/>
      <c r="S1064" s="18" t="s">
        <v>1458</v>
      </c>
      <c r="T1064" s="643">
        <v>1</v>
      </c>
      <c r="U1064" s="643"/>
      <c r="V1064" s="643">
        <v>1</v>
      </c>
      <c r="W1064" s="643"/>
      <c r="X1064" s="643"/>
      <c r="Y1064" s="20">
        <v>100</v>
      </c>
      <c r="Z1064" s="19">
        <v>100</v>
      </c>
      <c r="AA1064" s="22">
        <v>762568000</v>
      </c>
      <c r="AB1064" s="19">
        <f t="shared" si="407"/>
        <v>86.532931780683271</v>
      </c>
      <c r="AC1064" s="20">
        <f t="shared" si="409"/>
        <v>762568000</v>
      </c>
      <c r="AD1064" s="19">
        <f t="shared" si="408"/>
        <v>86.532931780683271</v>
      </c>
    </row>
    <row r="1065" spans="1:30" ht="60">
      <c r="A1065" s="1">
        <v>39</v>
      </c>
      <c r="B1065" s="13">
        <f t="shared" si="410"/>
        <v>29</v>
      </c>
      <c r="C1065" s="164" t="s">
        <v>398</v>
      </c>
      <c r="D1065" s="21" t="s">
        <v>399</v>
      </c>
      <c r="E1065" s="204"/>
      <c r="F1065" s="204">
        <v>1</v>
      </c>
      <c r="G1065" s="535" t="s">
        <v>1845</v>
      </c>
      <c r="H1065" s="89"/>
      <c r="I1065" s="193"/>
      <c r="J1065" s="15">
        <v>1590000000</v>
      </c>
      <c r="K1065" s="721">
        <v>1246851000</v>
      </c>
      <c r="L1065" s="13"/>
      <c r="M1065" s="22">
        <v>1200000000</v>
      </c>
      <c r="N1065" s="161" t="s">
        <v>2055</v>
      </c>
      <c r="O1065" s="17"/>
      <c r="P1065" s="158"/>
      <c r="Q1065" s="17"/>
      <c r="R1065" s="17"/>
      <c r="S1065" s="17"/>
      <c r="T1065" s="124">
        <v>1</v>
      </c>
      <c r="U1065" s="124"/>
      <c r="V1065" s="124">
        <v>1</v>
      </c>
      <c r="W1065" s="124"/>
      <c r="X1065" s="124"/>
      <c r="Y1065" s="17">
        <v>100</v>
      </c>
      <c r="Z1065" s="19">
        <v>100</v>
      </c>
      <c r="AA1065" s="22">
        <v>1244956000</v>
      </c>
      <c r="AB1065" s="19">
        <f t="shared" si="407"/>
        <v>99.84801712474065</v>
      </c>
      <c r="AC1065" s="20">
        <f t="shared" si="409"/>
        <v>1244956000</v>
      </c>
      <c r="AD1065" s="19">
        <f t="shared" si="408"/>
        <v>99.84801712474065</v>
      </c>
    </row>
    <row r="1066" spans="1:30" ht="38.25">
      <c r="A1066" s="1">
        <v>40</v>
      </c>
      <c r="B1066" s="13">
        <f t="shared" si="410"/>
        <v>30</v>
      </c>
      <c r="C1066" s="74" t="s">
        <v>400</v>
      </c>
      <c r="D1066" s="21" t="s">
        <v>401</v>
      </c>
      <c r="E1066" s="204"/>
      <c r="F1066" s="204">
        <v>1</v>
      </c>
      <c r="G1066" s="535" t="s">
        <v>1845</v>
      </c>
      <c r="H1066" s="89"/>
      <c r="I1066" s="193"/>
      <c r="J1066" s="15">
        <v>199737000</v>
      </c>
      <c r="K1066" s="721">
        <v>199737000</v>
      </c>
      <c r="L1066" s="57"/>
      <c r="M1066" s="25"/>
      <c r="N1066" s="49" t="s">
        <v>2151</v>
      </c>
      <c r="O1066" s="401" t="s">
        <v>2036</v>
      </c>
      <c r="P1066" s="410" t="s">
        <v>2037</v>
      </c>
      <c r="Q1066" s="18" t="s">
        <v>1994</v>
      </c>
      <c r="R1066" s="18"/>
      <c r="S1066" s="18"/>
      <c r="T1066" s="643"/>
      <c r="U1066" s="643"/>
      <c r="V1066" s="643"/>
      <c r="W1066" s="643"/>
      <c r="X1066" s="643"/>
      <c r="Y1066" s="20">
        <v>100</v>
      </c>
      <c r="Z1066" s="19">
        <v>100</v>
      </c>
      <c r="AA1066" s="22">
        <v>197011000</v>
      </c>
      <c r="AB1066" s="19">
        <f t="shared" si="407"/>
        <v>98.635205294962873</v>
      </c>
      <c r="AC1066" s="20">
        <f t="shared" si="409"/>
        <v>197011000</v>
      </c>
      <c r="AD1066" s="19">
        <f t="shared" si="408"/>
        <v>98.635205294962873</v>
      </c>
    </row>
    <row r="1067" spans="1:30" ht="25.5">
      <c r="A1067" s="1">
        <v>41</v>
      </c>
      <c r="B1067" s="13">
        <f t="shared" si="410"/>
        <v>31</v>
      </c>
      <c r="C1067" s="74" t="s">
        <v>402</v>
      </c>
      <c r="D1067" s="21" t="s">
        <v>403</v>
      </c>
      <c r="E1067" s="204"/>
      <c r="F1067" s="204">
        <v>1</v>
      </c>
      <c r="G1067" s="535" t="s">
        <v>1845</v>
      </c>
      <c r="H1067" s="89"/>
      <c r="I1067" s="193"/>
      <c r="J1067" s="15">
        <v>2279716000</v>
      </c>
      <c r="K1067" s="721">
        <v>1688741000</v>
      </c>
      <c r="L1067" s="57"/>
      <c r="M1067" s="25">
        <v>1608000000</v>
      </c>
      <c r="N1067" s="49" t="s">
        <v>1922</v>
      </c>
      <c r="O1067" s="18"/>
      <c r="P1067" s="18"/>
      <c r="Q1067" s="18"/>
      <c r="R1067" s="18"/>
      <c r="S1067" s="18" t="s">
        <v>1458</v>
      </c>
      <c r="T1067" s="643">
        <v>1</v>
      </c>
      <c r="U1067" s="643"/>
      <c r="V1067" s="643">
        <v>1</v>
      </c>
      <c r="W1067" s="643"/>
      <c r="X1067" s="643"/>
      <c r="Y1067" s="20">
        <v>100</v>
      </c>
      <c r="Z1067" s="19">
        <v>100</v>
      </c>
      <c r="AA1067" s="22">
        <v>1683708000</v>
      </c>
      <c r="AB1067" s="19">
        <f t="shared" si="407"/>
        <v>99.701967323586032</v>
      </c>
      <c r="AC1067" s="20">
        <f t="shared" si="409"/>
        <v>1683708000</v>
      </c>
      <c r="AD1067" s="19">
        <f t="shared" si="408"/>
        <v>99.701967323586032</v>
      </c>
    </row>
    <row r="1068" spans="1:30" ht="63.75">
      <c r="A1068" s="1">
        <v>42</v>
      </c>
      <c r="B1068" s="13">
        <f t="shared" si="410"/>
        <v>32</v>
      </c>
      <c r="C1068" s="74" t="s">
        <v>404</v>
      </c>
      <c r="D1068" s="21" t="s">
        <v>405</v>
      </c>
      <c r="E1068" s="204"/>
      <c r="F1068" s="204">
        <v>1</v>
      </c>
      <c r="G1068" s="535" t="s">
        <v>1845</v>
      </c>
      <c r="H1068" s="89"/>
      <c r="I1068" s="193"/>
      <c r="J1068" s="15">
        <v>822454000</v>
      </c>
      <c r="K1068" s="721">
        <v>702643000</v>
      </c>
      <c r="L1068" s="57" t="s">
        <v>1894</v>
      </c>
      <c r="M1068" s="25">
        <v>666000000</v>
      </c>
      <c r="N1068" s="49" t="s">
        <v>1866</v>
      </c>
      <c r="O1068" s="401" t="s">
        <v>1990</v>
      </c>
      <c r="P1068" s="401" t="s">
        <v>1996</v>
      </c>
      <c r="Q1068" s="18" t="s">
        <v>1994</v>
      </c>
      <c r="R1068" s="18"/>
      <c r="S1068" s="18" t="s">
        <v>1458</v>
      </c>
      <c r="T1068" s="643">
        <v>1</v>
      </c>
      <c r="U1068" s="643"/>
      <c r="V1068" s="643">
        <v>1</v>
      </c>
      <c r="W1068" s="643"/>
      <c r="X1068" s="643"/>
      <c r="Y1068" s="20">
        <v>100</v>
      </c>
      <c r="Z1068" s="19">
        <v>100</v>
      </c>
      <c r="AA1068" s="22">
        <v>702155000</v>
      </c>
      <c r="AB1068" s="19">
        <f t="shared" si="407"/>
        <v>99.930547945400434</v>
      </c>
      <c r="AC1068" s="20">
        <f>AA1068</f>
        <v>702155000</v>
      </c>
      <c r="AD1068" s="19">
        <f t="shared" si="408"/>
        <v>99.930547945400434</v>
      </c>
    </row>
    <row r="1069" spans="1:30" ht="63.75">
      <c r="A1069" s="1">
        <v>43</v>
      </c>
      <c r="B1069" s="13">
        <f t="shared" si="410"/>
        <v>33</v>
      </c>
      <c r="C1069" s="74" t="s">
        <v>406</v>
      </c>
      <c r="D1069" s="21" t="s">
        <v>407</v>
      </c>
      <c r="E1069" s="204"/>
      <c r="F1069" s="204">
        <v>1</v>
      </c>
      <c r="G1069" s="535" t="s">
        <v>1845</v>
      </c>
      <c r="H1069" s="89"/>
      <c r="I1069" s="193"/>
      <c r="J1069" s="15">
        <v>1240812000</v>
      </c>
      <c r="K1069" s="721">
        <v>1002018000</v>
      </c>
      <c r="L1069" s="57" t="s">
        <v>1894</v>
      </c>
      <c r="M1069" s="625">
        <v>955176000</v>
      </c>
      <c r="N1069" s="49" t="s">
        <v>1854</v>
      </c>
      <c r="O1069" s="401" t="s">
        <v>1990</v>
      </c>
      <c r="P1069" s="401" t="s">
        <v>1996</v>
      </c>
      <c r="Q1069" s="18" t="s">
        <v>1994</v>
      </c>
      <c r="R1069" s="18"/>
      <c r="S1069" s="18" t="s">
        <v>1458</v>
      </c>
      <c r="T1069" s="643">
        <v>1</v>
      </c>
      <c r="U1069" s="643"/>
      <c r="V1069" s="643">
        <v>1</v>
      </c>
      <c r="W1069" s="643"/>
      <c r="X1069" s="643"/>
      <c r="Y1069" s="20">
        <v>100</v>
      </c>
      <c r="Z1069" s="19">
        <v>100</v>
      </c>
      <c r="AA1069" s="22">
        <v>1001260000</v>
      </c>
      <c r="AB1069" s="19">
        <f t="shared" si="407"/>
        <v>99.924352656339508</v>
      </c>
      <c r="AC1069" s="20">
        <f t="shared" si="409"/>
        <v>1001260000</v>
      </c>
      <c r="AD1069" s="19">
        <f t="shared" si="408"/>
        <v>99.924352656339508</v>
      </c>
    </row>
    <row r="1070" spans="1:30" ht="51">
      <c r="A1070" s="1">
        <v>44</v>
      </c>
      <c r="B1070" s="13">
        <f t="shared" si="410"/>
        <v>34</v>
      </c>
      <c r="C1070" s="74" t="s">
        <v>408</v>
      </c>
      <c r="D1070" s="21" t="s">
        <v>409</v>
      </c>
      <c r="E1070" s="204"/>
      <c r="F1070" s="204">
        <v>1</v>
      </c>
      <c r="G1070" s="535" t="s">
        <v>1845</v>
      </c>
      <c r="H1070" s="89"/>
      <c r="I1070" s="193"/>
      <c r="J1070" s="15">
        <v>1905000000</v>
      </c>
      <c r="K1070" s="721">
        <v>1905000000</v>
      </c>
      <c r="L1070" s="57" t="s">
        <v>1894</v>
      </c>
      <c r="M1070" s="625">
        <v>1744317000</v>
      </c>
      <c r="N1070" s="49" t="s">
        <v>1858</v>
      </c>
      <c r="O1070" s="401" t="s">
        <v>1990</v>
      </c>
      <c r="P1070" s="401" t="s">
        <v>1996</v>
      </c>
      <c r="Q1070" s="18" t="s">
        <v>1994</v>
      </c>
      <c r="R1070" s="18"/>
      <c r="S1070" s="18" t="s">
        <v>1458</v>
      </c>
      <c r="T1070" s="643">
        <v>1</v>
      </c>
      <c r="U1070" s="643"/>
      <c r="V1070" s="643">
        <v>1</v>
      </c>
      <c r="W1070" s="643"/>
      <c r="X1070" s="643"/>
      <c r="Y1070" s="461">
        <v>100</v>
      </c>
      <c r="Z1070" s="19">
        <v>100</v>
      </c>
      <c r="AA1070" s="22">
        <v>1804903000</v>
      </c>
      <c r="AB1070" s="19">
        <f t="shared" si="407"/>
        <v>94.745564304461936</v>
      </c>
      <c r="AC1070" s="20">
        <f t="shared" si="409"/>
        <v>1804903000</v>
      </c>
      <c r="AD1070" s="19">
        <f t="shared" si="408"/>
        <v>94.745564304461936</v>
      </c>
    </row>
    <row r="1071" spans="1:30" ht="63.75">
      <c r="A1071" s="1">
        <v>45</v>
      </c>
      <c r="B1071" s="13">
        <f t="shared" si="410"/>
        <v>35</v>
      </c>
      <c r="C1071" s="74" t="s">
        <v>410</v>
      </c>
      <c r="D1071" s="21" t="s">
        <v>411</v>
      </c>
      <c r="E1071" s="204"/>
      <c r="F1071" s="204">
        <v>1</v>
      </c>
      <c r="G1071" s="535" t="s">
        <v>1845</v>
      </c>
      <c r="H1071" s="89"/>
      <c r="I1071" s="193"/>
      <c r="J1071" s="15">
        <v>1015346000</v>
      </c>
      <c r="K1071" s="721">
        <v>820522000</v>
      </c>
      <c r="L1071" s="57" t="s">
        <v>1894</v>
      </c>
      <c r="M1071" s="20">
        <v>779476000</v>
      </c>
      <c r="N1071" s="49" t="s">
        <v>1854</v>
      </c>
      <c r="O1071" s="401" t="s">
        <v>1990</v>
      </c>
      <c r="P1071" s="401" t="s">
        <v>1996</v>
      </c>
      <c r="Q1071" s="18" t="s">
        <v>1994</v>
      </c>
      <c r="R1071" s="18"/>
      <c r="S1071" s="18" t="s">
        <v>1458</v>
      </c>
      <c r="T1071" s="643">
        <v>1</v>
      </c>
      <c r="U1071" s="643"/>
      <c r="V1071" s="643">
        <v>1</v>
      </c>
      <c r="W1071" s="643"/>
      <c r="X1071" s="643"/>
      <c r="Y1071" s="461">
        <v>100</v>
      </c>
      <c r="Z1071" s="19">
        <v>100</v>
      </c>
      <c r="AA1071" s="22">
        <v>820489000</v>
      </c>
      <c r="AB1071" s="19">
        <f t="shared" si="407"/>
        <v>99.995978169994231</v>
      </c>
      <c r="AC1071" s="20">
        <f t="shared" si="409"/>
        <v>820489000</v>
      </c>
      <c r="AD1071" s="19">
        <f t="shared" si="408"/>
        <v>99.995978169994231</v>
      </c>
    </row>
    <row r="1072" spans="1:30" ht="38.25">
      <c r="A1072" s="1">
        <v>46</v>
      </c>
      <c r="B1072" s="13">
        <f t="shared" si="410"/>
        <v>36</v>
      </c>
      <c r="C1072" s="74" t="s">
        <v>412</v>
      </c>
      <c r="D1072" s="21" t="s">
        <v>413</v>
      </c>
      <c r="E1072" s="204"/>
      <c r="F1072" s="204">
        <v>1</v>
      </c>
      <c r="G1072" s="535" t="s">
        <v>1845</v>
      </c>
      <c r="H1072" s="89"/>
      <c r="I1072" s="193"/>
      <c r="J1072" s="15">
        <v>1332056000</v>
      </c>
      <c r="K1072" s="721">
        <v>1126248000</v>
      </c>
      <c r="L1072" s="57" t="s">
        <v>1894</v>
      </c>
      <c r="M1072" s="20">
        <v>1079397000</v>
      </c>
      <c r="N1072" s="49" t="s">
        <v>1877</v>
      </c>
      <c r="O1072" s="407" t="s">
        <v>1990</v>
      </c>
      <c r="P1072" s="407" t="s">
        <v>1989</v>
      </c>
      <c r="Q1072" s="18" t="s">
        <v>1994</v>
      </c>
      <c r="R1072" s="18"/>
      <c r="S1072" s="18" t="s">
        <v>1458</v>
      </c>
      <c r="T1072" s="643">
        <v>1</v>
      </c>
      <c r="U1072" s="643"/>
      <c r="V1072" s="643">
        <v>1</v>
      </c>
      <c r="W1072" s="643"/>
      <c r="X1072" s="643"/>
      <c r="Y1072" s="461">
        <v>100</v>
      </c>
      <c r="Z1072" s="19">
        <v>100</v>
      </c>
      <c r="AA1072" s="22">
        <v>1118210000</v>
      </c>
      <c r="AB1072" s="19">
        <f t="shared" si="407"/>
        <v>99.286302839161536</v>
      </c>
      <c r="AC1072" s="20">
        <f t="shared" si="409"/>
        <v>1118210000</v>
      </c>
      <c r="AD1072" s="19">
        <f t="shared" si="408"/>
        <v>99.286302839161536</v>
      </c>
    </row>
    <row r="1073" spans="1:32" ht="38.25">
      <c r="A1073" s="1">
        <v>47</v>
      </c>
      <c r="B1073" s="13">
        <f t="shared" si="410"/>
        <v>37</v>
      </c>
      <c r="C1073" s="74" t="s">
        <v>414</v>
      </c>
      <c r="D1073" s="21" t="s">
        <v>415</v>
      </c>
      <c r="E1073" s="204"/>
      <c r="F1073" s="204">
        <v>1</v>
      </c>
      <c r="G1073" s="535" t="s">
        <v>1845</v>
      </c>
      <c r="H1073" s="89"/>
      <c r="I1073" s="193"/>
      <c r="J1073" s="15">
        <v>853668000</v>
      </c>
      <c r="K1073" s="721">
        <v>853668000</v>
      </c>
      <c r="L1073" s="13"/>
      <c r="M1073" s="20">
        <v>723315000</v>
      </c>
      <c r="N1073" s="49" t="s">
        <v>2058</v>
      </c>
      <c r="O1073" s="57"/>
      <c r="P1073" s="57"/>
      <c r="Q1073" s="18"/>
      <c r="R1073" s="18"/>
      <c r="S1073" s="18" t="s">
        <v>1458</v>
      </c>
      <c r="T1073" s="643">
        <v>1</v>
      </c>
      <c r="U1073" s="643"/>
      <c r="V1073" s="643">
        <v>1</v>
      </c>
      <c r="W1073" s="643"/>
      <c r="X1073" s="643"/>
      <c r="Y1073" s="461">
        <v>100</v>
      </c>
      <c r="Z1073" s="19">
        <v>100</v>
      </c>
      <c r="AA1073" s="22">
        <v>758690000</v>
      </c>
      <c r="AB1073" s="19">
        <f t="shared" si="407"/>
        <v>88.874129052512217</v>
      </c>
      <c r="AC1073" s="20">
        <f t="shared" si="409"/>
        <v>758690000</v>
      </c>
      <c r="AD1073" s="19">
        <f t="shared" si="408"/>
        <v>88.874129052512217</v>
      </c>
    </row>
    <row r="1074" spans="1:32" ht="25.5">
      <c r="A1074" s="1">
        <v>48</v>
      </c>
      <c r="B1074" s="13">
        <f t="shared" si="410"/>
        <v>38</v>
      </c>
      <c r="C1074" s="74" t="s">
        <v>416</v>
      </c>
      <c r="D1074" s="21" t="s">
        <v>417</v>
      </c>
      <c r="E1074" s="204"/>
      <c r="F1074" s="204">
        <v>1</v>
      </c>
      <c r="G1074" s="535" t="s">
        <v>1845</v>
      </c>
      <c r="H1074" s="89"/>
      <c r="I1074" s="193"/>
      <c r="J1074" s="15">
        <v>783435000</v>
      </c>
      <c r="K1074" s="721">
        <v>654886000</v>
      </c>
      <c r="L1074" s="57" t="s">
        <v>1894</v>
      </c>
      <c r="M1074" s="20">
        <v>619825000</v>
      </c>
      <c r="N1074" s="49" t="s">
        <v>1856</v>
      </c>
      <c r="O1074" s="407" t="s">
        <v>1990</v>
      </c>
      <c r="P1074" s="407" t="s">
        <v>1989</v>
      </c>
      <c r="Q1074" s="18" t="s">
        <v>1994</v>
      </c>
      <c r="R1074" s="18"/>
      <c r="S1074" s="18" t="s">
        <v>1458</v>
      </c>
      <c r="T1074" s="643">
        <v>1</v>
      </c>
      <c r="U1074" s="643"/>
      <c r="V1074" s="643">
        <v>1</v>
      </c>
      <c r="W1074" s="643"/>
      <c r="X1074" s="643"/>
      <c r="Y1074" s="461">
        <v>100</v>
      </c>
      <c r="Z1074" s="19">
        <v>100</v>
      </c>
      <c r="AA1074" s="22">
        <v>652794000</v>
      </c>
      <c r="AB1074" s="19">
        <f t="shared" si="407"/>
        <v>99.680555088977314</v>
      </c>
      <c r="AC1074" s="20">
        <f t="shared" si="409"/>
        <v>652794000</v>
      </c>
      <c r="AD1074" s="19">
        <f t="shared" si="408"/>
        <v>99.680555088977314</v>
      </c>
    </row>
    <row r="1075" spans="1:32" ht="63.75">
      <c r="A1075" s="1">
        <v>49</v>
      </c>
      <c r="B1075" s="13">
        <f t="shared" si="410"/>
        <v>39</v>
      </c>
      <c r="C1075" s="74" t="s">
        <v>418</v>
      </c>
      <c r="D1075" s="21" t="s">
        <v>419</v>
      </c>
      <c r="E1075" s="204"/>
      <c r="F1075" s="204">
        <v>1</v>
      </c>
      <c r="G1075" s="535" t="s">
        <v>1845</v>
      </c>
      <c r="H1075" s="89"/>
      <c r="I1075" s="193"/>
      <c r="J1075" s="15">
        <v>639447000</v>
      </c>
      <c r="K1075" s="721">
        <v>505597000</v>
      </c>
      <c r="L1075" s="57" t="s">
        <v>1894</v>
      </c>
      <c r="M1075" s="20">
        <v>477000000</v>
      </c>
      <c r="N1075" s="49" t="s">
        <v>1866</v>
      </c>
      <c r="O1075" s="401" t="s">
        <v>1992</v>
      </c>
      <c r="P1075" s="401" t="s">
        <v>1997</v>
      </c>
      <c r="Q1075" s="18" t="s">
        <v>1987</v>
      </c>
      <c r="R1075" s="18"/>
      <c r="S1075" s="18" t="s">
        <v>1458</v>
      </c>
      <c r="T1075" s="643">
        <v>1</v>
      </c>
      <c r="U1075" s="643"/>
      <c r="V1075" s="643">
        <v>1</v>
      </c>
      <c r="W1075" s="643"/>
      <c r="X1075" s="643"/>
      <c r="Y1075" s="461">
        <v>100</v>
      </c>
      <c r="Z1075" s="19">
        <v>100</v>
      </c>
      <c r="AA1075" s="22">
        <v>505494000</v>
      </c>
      <c r="AB1075" s="19">
        <f t="shared" si="407"/>
        <v>99.979628043679057</v>
      </c>
      <c r="AC1075" s="20">
        <f t="shared" si="409"/>
        <v>505494000</v>
      </c>
      <c r="AD1075" s="19">
        <f t="shared" si="408"/>
        <v>99.979628043679057</v>
      </c>
    </row>
    <row r="1076" spans="1:32" ht="63.75">
      <c r="A1076" s="1">
        <v>50</v>
      </c>
      <c r="B1076" s="13">
        <f t="shared" si="410"/>
        <v>40</v>
      </c>
      <c r="C1076" s="74" t="s">
        <v>420</v>
      </c>
      <c r="D1076" s="21" t="s">
        <v>421</v>
      </c>
      <c r="E1076" s="204"/>
      <c r="F1076" s="204">
        <v>1</v>
      </c>
      <c r="G1076" s="535" t="s">
        <v>1845</v>
      </c>
      <c r="H1076" s="89"/>
      <c r="I1076" s="193"/>
      <c r="J1076" s="15">
        <v>398691000</v>
      </c>
      <c r="K1076" s="721">
        <v>398691000</v>
      </c>
      <c r="L1076" s="57"/>
      <c r="M1076" s="20">
        <v>281000000</v>
      </c>
      <c r="N1076" s="49" t="s">
        <v>2052</v>
      </c>
      <c r="O1076" s="17"/>
      <c r="P1076" s="158"/>
      <c r="Q1076" s="18"/>
      <c r="R1076" s="18"/>
      <c r="S1076" s="18" t="s">
        <v>1458</v>
      </c>
      <c r="T1076" s="643">
        <v>1</v>
      </c>
      <c r="U1076" s="643"/>
      <c r="V1076" s="643">
        <v>1</v>
      </c>
      <c r="W1076" s="643"/>
      <c r="X1076" s="643"/>
      <c r="Y1076" s="461">
        <v>100</v>
      </c>
      <c r="Z1076" s="19">
        <v>100</v>
      </c>
      <c r="AA1076" s="22">
        <v>300570000</v>
      </c>
      <c r="AB1076" s="19">
        <f t="shared" si="407"/>
        <v>75.389211193631155</v>
      </c>
      <c r="AC1076" s="20">
        <f t="shared" si="409"/>
        <v>300570000</v>
      </c>
      <c r="AD1076" s="19">
        <f t="shared" si="408"/>
        <v>75.389211193631155</v>
      </c>
    </row>
    <row r="1077" spans="1:32" ht="51">
      <c r="A1077" s="1">
        <v>51</v>
      </c>
      <c r="B1077" s="13">
        <f t="shared" si="410"/>
        <v>41</v>
      </c>
      <c r="C1077" s="81">
        <v>16.036000000000001</v>
      </c>
      <c r="D1077" s="21" t="s">
        <v>422</v>
      </c>
      <c r="E1077" s="204"/>
      <c r="F1077" s="204">
        <v>1</v>
      </c>
      <c r="G1077" s="535" t="s">
        <v>1845</v>
      </c>
      <c r="H1077" s="89"/>
      <c r="I1077" s="193"/>
      <c r="J1077" s="15">
        <v>1796690000</v>
      </c>
      <c r="K1077" s="721">
        <v>1498523000</v>
      </c>
      <c r="L1077" s="57" t="s">
        <v>1894</v>
      </c>
      <c r="M1077" s="622">
        <v>1439000000</v>
      </c>
      <c r="N1077" s="49" t="s">
        <v>1847</v>
      </c>
      <c r="O1077" s="401" t="s">
        <v>1990</v>
      </c>
      <c r="P1077" s="401" t="s">
        <v>1996</v>
      </c>
      <c r="Q1077" s="18" t="s">
        <v>1994</v>
      </c>
      <c r="R1077" s="18"/>
      <c r="S1077" s="18" t="s">
        <v>1458</v>
      </c>
      <c r="T1077" s="643">
        <v>1</v>
      </c>
      <c r="U1077" s="643"/>
      <c r="V1077" s="643">
        <v>1</v>
      </c>
      <c r="W1077" s="643"/>
      <c r="X1077" s="643"/>
      <c r="Y1077" s="461">
        <v>100</v>
      </c>
      <c r="Z1077" s="19">
        <v>100</v>
      </c>
      <c r="AA1077" s="22">
        <v>1498479000</v>
      </c>
      <c r="AB1077" s="19">
        <f t="shared" si="407"/>
        <v>99.997063775464241</v>
      </c>
      <c r="AC1077" s="20">
        <f t="shared" si="409"/>
        <v>1498479000</v>
      </c>
      <c r="AD1077" s="19">
        <f t="shared" si="408"/>
        <v>99.997063775464241</v>
      </c>
    </row>
    <row r="1078" spans="1:32" ht="38.25">
      <c r="A1078" s="1">
        <v>52</v>
      </c>
      <c r="B1078" s="13">
        <f t="shared" si="410"/>
        <v>42</v>
      </c>
      <c r="C1078" s="81">
        <v>16.036999999999999</v>
      </c>
      <c r="D1078" s="21" t="s">
        <v>423</v>
      </c>
      <c r="E1078" s="204"/>
      <c r="F1078" s="204">
        <v>1</v>
      </c>
      <c r="G1078" s="535" t="s">
        <v>1845</v>
      </c>
      <c r="H1078" s="89"/>
      <c r="I1078" s="193"/>
      <c r="J1078" s="15">
        <v>764347000</v>
      </c>
      <c r="K1078" s="721">
        <v>646799000</v>
      </c>
      <c r="L1078" s="57" t="s">
        <v>1894</v>
      </c>
      <c r="M1078" s="20">
        <v>463555000</v>
      </c>
      <c r="N1078" s="49" t="s">
        <v>1861</v>
      </c>
      <c r="O1078" s="50" t="s">
        <v>1990</v>
      </c>
      <c r="P1078" s="641" t="s">
        <v>1989</v>
      </c>
      <c r="Q1078" s="18" t="s">
        <v>1994</v>
      </c>
      <c r="R1078" s="18"/>
      <c r="S1078" s="18" t="s">
        <v>1458</v>
      </c>
      <c r="T1078" s="643">
        <v>1</v>
      </c>
      <c r="U1078" s="643"/>
      <c r="V1078" s="643">
        <v>1</v>
      </c>
      <c r="W1078" s="643"/>
      <c r="X1078" s="643"/>
      <c r="Y1078" s="461">
        <v>100</v>
      </c>
      <c r="Z1078" s="19">
        <v>100</v>
      </c>
      <c r="AA1078" s="162">
        <v>495510000</v>
      </c>
      <c r="AB1078" s="19">
        <f t="shared" si="407"/>
        <v>76.609580410606696</v>
      </c>
      <c r="AC1078" s="20">
        <f t="shared" si="409"/>
        <v>495510000</v>
      </c>
      <c r="AD1078" s="19">
        <f t="shared" si="408"/>
        <v>76.609580410606696</v>
      </c>
    </row>
    <row r="1079" spans="1:32" ht="76.5">
      <c r="A1079" s="1">
        <v>53</v>
      </c>
      <c r="B1079" s="13">
        <f t="shared" si="410"/>
        <v>43</v>
      </c>
      <c r="C1079" s="81">
        <v>16.038</v>
      </c>
      <c r="D1079" s="21" t="s">
        <v>424</v>
      </c>
      <c r="E1079" s="204"/>
      <c r="F1079" s="204">
        <v>1</v>
      </c>
      <c r="G1079" s="535" t="s">
        <v>1845</v>
      </c>
      <c r="H1079" s="89"/>
      <c r="I1079" s="193"/>
      <c r="J1079" s="15">
        <v>5075000000</v>
      </c>
      <c r="K1079" s="721">
        <v>5075000000</v>
      </c>
      <c r="L1079" s="107" t="s">
        <v>1988</v>
      </c>
      <c r="M1079" s="20">
        <v>3800700000</v>
      </c>
      <c r="N1079" s="49" t="s">
        <v>2053</v>
      </c>
      <c r="O1079" s="17"/>
      <c r="P1079" s="158"/>
      <c r="Q1079" s="18"/>
      <c r="R1079" s="18"/>
      <c r="S1079" s="18" t="s">
        <v>1458</v>
      </c>
      <c r="T1079" s="643">
        <v>1</v>
      </c>
      <c r="U1079" s="643"/>
      <c r="V1079" s="643">
        <v>1</v>
      </c>
      <c r="W1079" s="643"/>
      <c r="X1079" s="643"/>
      <c r="Y1079" s="461">
        <v>100</v>
      </c>
      <c r="Z1079" s="19">
        <v>100</v>
      </c>
      <c r="AA1079" s="22">
        <v>3884394900</v>
      </c>
      <c r="AB1079" s="19">
        <f t="shared" si="407"/>
        <v>76.539800985221675</v>
      </c>
      <c r="AC1079" s="20">
        <f t="shared" si="409"/>
        <v>3884394900</v>
      </c>
      <c r="AD1079" s="19">
        <f t="shared" si="408"/>
        <v>76.539800985221675</v>
      </c>
    </row>
    <row r="1080" spans="1:32" ht="25.5">
      <c r="A1080" s="1">
        <v>54</v>
      </c>
      <c r="B1080" s="13">
        <f t="shared" si="410"/>
        <v>44</v>
      </c>
      <c r="C1080" s="74" t="s">
        <v>425</v>
      </c>
      <c r="D1080" s="21" t="s">
        <v>426</v>
      </c>
      <c r="E1080" s="204"/>
      <c r="F1080" s="204">
        <v>1</v>
      </c>
      <c r="G1080" s="535" t="s">
        <v>1845</v>
      </c>
      <c r="H1080" s="89"/>
      <c r="I1080" s="193"/>
      <c r="J1080" s="15">
        <v>934279000</v>
      </c>
      <c r="K1080" s="721">
        <v>755716000</v>
      </c>
      <c r="L1080" s="57" t="s">
        <v>1894</v>
      </c>
      <c r="M1080" s="20">
        <v>715733000</v>
      </c>
      <c r="N1080" s="49" t="s">
        <v>1856</v>
      </c>
      <c r="O1080" s="410" t="s">
        <v>1990</v>
      </c>
      <c r="P1080" s="401" t="s">
        <v>1989</v>
      </c>
      <c r="Q1080" s="18" t="s">
        <v>1994</v>
      </c>
      <c r="R1080" s="18"/>
      <c r="S1080" s="18" t="s">
        <v>1458</v>
      </c>
      <c r="T1080" s="643">
        <v>1</v>
      </c>
      <c r="U1080" s="643"/>
      <c r="V1080" s="643">
        <v>1</v>
      </c>
      <c r="W1080" s="643"/>
      <c r="X1080" s="643"/>
      <c r="Y1080" s="461">
        <v>100</v>
      </c>
      <c r="Z1080" s="19">
        <v>100</v>
      </c>
      <c r="AA1080" s="22">
        <v>754106000</v>
      </c>
      <c r="AB1080" s="19">
        <f t="shared" si="407"/>
        <v>99.786957005012468</v>
      </c>
      <c r="AC1080" s="20">
        <f t="shared" si="409"/>
        <v>754106000</v>
      </c>
      <c r="AD1080" s="19">
        <f t="shared" si="408"/>
        <v>99.786957005012468</v>
      </c>
    </row>
    <row r="1081" spans="1:32" ht="38.25">
      <c r="A1081" s="1">
        <v>55</v>
      </c>
      <c r="B1081" s="13">
        <f t="shared" si="410"/>
        <v>45</v>
      </c>
      <c r="C1081" s="74" t="s">
        <v>427</v>
      </c>
      <c r="D1081" s="21" t="s">
        <v>428</v>
      </c>
      <c r="E1081" s="204"/>
      <c r="F1081" s="204">
        <v>1</v>
      </c>
      <c r="G1081" s="535" t="s">
        <v>1845</v>
      </c>
      <c r="H1081" s="89"/>
      <c r="I1081" s="193"/>
      <c r="J1081" s="15">
        <v>305306000</v>
      </c>
      <c r="K1081" s="721">
        <v>305306000</v>
      </c>
      <c r="L1081" s="57" t="s">
        <v>1894</v>
      </c>
      <c r="M1081" s="20">
        <v>284505000</v>
      </c>
      <c r="N1081" s="49" t="s">
        <v>1860</v>
      </c>
      <c r="O1081" s="410" t="s">
        <v>1990</v>
      </c>
      <c r="P1081" s="401" t="s">
        <v>1989</v>
      </c>
      <c r="Q1081" s="18" t="s">
        <v>1994</v>
      </c>
      <c r="R1081" s="18"/>
      <c r="S1081" s="18" t="s">
        <v>1458</v>
      </c>
      <c r="T1081" s="643">
        <v>1</v>
      </c>
      <c r="U1081" s="643"/>
      <c r="V1081" s="643">
        <v>1</v>
      </c>
      <c r="W1081" s="643"/>
      <c r="X1081" s="643"/>
      <c r="Y1081" s="461">
        <v>100</v>
      </c>
      <c r="Z1081" s="19">
        <v>100</v>
      </c>
      <c r="AA1081" s="22">
        <v>299815000</v>
      </c>
      <c r="AB1081" s="19">
        <f t="shared" si="407"/>
        <v>98.201476551394336</v>
      </c>
      <c r="AC1081" s="20">
        <f t="shared" si="409"/>
        <v>299815000</v>
      </c>
      <c r="AD1081" s="19">
        <f t="shared" si="408"/>
        <v>98.201476551394336</v>
      </c>
    </row>
    <row r="1082" spans="1:32" ht="51">
      <c r="A1082" s="1">
        <v>56</v>
      </c>
      <c r="B1082" s="13">
        <f t="shared" si="410"/>
        <v>46</v>
      </c>
      <c r="C1082" s="74" t="s">
        <v>429</v>
      </c>
      <c r="D1082" s="21" t="s">
        <v>430</v>
      </c>
      <c r="E1082" s="204"/>
      <c r="F1082" s="204">
        <v>1</v>
      </c>
      <c r="G1082" s="535" t="s">
        <v>1845</v>
      </c>
      <c r="H1082" s="89"/>
      <c r="I1082" s="193"/>
      <c r="J1082" s="15">
        <v>897607000</v>
      </c>
      <c r="K1082" s="721">
        <v>779663000</v>
      </c>
      <c r="L1082" s="57" t="s">
        <v>1894</v>
      </c>
      <c r="M1082" s="20">
        <v>742247000</v>
      </c>
      <c r="N1082" s="49" t="s">
        <v>1872</v>
      </c>
      <c r="O1082" s="410" t="s">
        <v>1990</v>
      </c>
      <c r="P1082" s="401" t="s">
        <v>1989</v>
      </c>
      <c r="Q1082" s="18" t="s">
        <v>1994</v>
      </c>
      <c r="R1082" s="18"/>
      <c r="S1082" s="18" t="s">
        <v>1458</v>
      </c>
      <c r="T1082" s="643">
        <v>1</v>
      </c>
      <c r="U1082" s="643"/>
      <c r="V1082" s="643">
        <v>1</v>
      </c>
      <c r="W1082" s="643"/>
      <c r="X1082" s="643"/>
      <c r="Y1082" s="461">
        <v>100</v>
      </c>
      <c r="Z1082" s="19">
        <v>100</v>
      </c>
      <c r="AA1082" s="22">
        <v>779631000</v>
      </c>
      <c r="AB1082" s="19">
        <f t="shared" si="407"/>
        <v>99.995895662613208</v>
      </c>
      <c r="AC1082" s="20">
        <f t="shared" si="409"/>
        <v>779631000</v>
      </c>
      <c r="AD1082" s="19">
        <f t="shared" si="408"/>
        <v>99.995895662613208</v>
      </c>
    </row>
    <row r="1083" spans="1:32" ht="75">
      <c r="A1083" s="1">
        <v>57</v>
      </c>
      <c r="B1083" s="13">
        <f t="shared" si="410"/>
        <v>47</v>
      </c>
      <c r="C1083" s="74" t="s">
        <v>431</v>
      </c>
      <c r="D1083" s="21" t="s">
        <v>432</v>
      </c>
      <c r="E1083" s="204"/>
      <c r="F1083" s="204">
        <v>1</v>
      </c>
      <c r="G1083" s="535" t="s">
        <v>1845</v>
      </c>
      <c r="H1083" s="89"/>
      <c r="I1083" s="193"/>
      <c r="J1083" s="15">
        <v>729884000</v>
      </c>
      <c r="K1083" s="721">
        <v>588009000</v>
      </c>
      <c r="L1083" s="57" t="s">
        <v>1894</v>
      </c>
      <c r="M1083" s="20">
        <v>554800000</v>
      </c>
      <c r="N1083" s="215" t="s">
        <v>1847</v>
      </c>
      <c r="O1083" s="401" t="s">
        <v>1990</v>
      </c>
      <c r="P1083" s="401" t="s">
        <v>1996</v>
      </c>
      <c r="Q1083" s="18" t="s">
        <v>1994</v>
      </c>
      <c r="R1083" s="18"/>
      <c r="S1083" s="18" t="s">
        <v>1458</v>
      </c>
      <c r="T1083" s="643">
        <v>1</v>
      </c>
      <c r="U1083" s="643"/>
      <c r="V1083" s="643">
        <v>1</v>
      </c>
      <c r="W1083" s="643"/>
      <c r="X1083" s="643"/>
      <c r="Y1083" s="461">
        <v>100</v>
      </c>
      <c r="Z1083" s="19">
        <v>100</v>
      </c>
      <c r="AA1083" s="22">
        <v>587882000</v>
      </c>
      <c r="AB1083" s="19">
        <f t="shared" si="407"/>
        <v>99.978401691130586</v>
      </c>
      <c r="AC1083" s="20">
        <f>AA1083</f>
        <v>587882000</v>
      </c>
      <c r="AD1083" s="19">
        <f t="shared" si="408"/>
        <v>99.978401691130586</v>
      </c>
    </row>
    <row r="1084" spans="1:32" ht="51">
      <c r="A1084" s="1">
        <v>58</v>
      </c>
      <c r="B1084" s="13">
        <f t="shared" si="410"/>
        <v>48</v>
      </c>
      <c r="C1084" s="81">
        <v>16.045999999999999</v>
      </c>
      <c r="D1084" s="21" t="s">
        <v>433</v>
      </c>
      <c r="E1084" s="204"/>
      <c r="F1084" s="204">
        <v>1</v>
      </c>
      <c r="G1084" s="535" t="s">
        <v>1845</v>
      </c>
      <c r="H1084" s="89"/>
      <c r="I1084" s="193"/>
      <c r="J1084" s="15">
        <v>1804000000</v>
      </c>
      <c r="K1084" s="721">
        <v>1566851000</v>
      </c>
      <c r="L1084" s="57" t="s">
        <v>1894</v>
      </c>
      <c r="M1084" s="625">
        <v>1520000000</v>
      </c>
      <c r="N1084" s="49" t="s">
        <v>1871</v>
      </c>
      <c r="O1084" s="401" t="s">
        <v>1990</v>
      </c>
      <c r="P1084" s="401" t="s">
        <v>1989</v>
      </c>
      <c r="Q1084" s="18" t="s">
        <v>1987</v>
      </c>
      <c r="R1084" s="18"/>
      <c r="S1084" s="18" t="s">
        <v>1458</v>
      </c>
      <c r="T1084" s="643">
        <v>1</v>
      </c>
      <c r="U1084" s="643"/>
      <c r="V1084" s="643">
        <v>1</v>
      </c>
      <c r="W1084" s="643"/>
      <c r="X1084" s="643"/>
      <c r="Y1084" s="461">
        <v>100</v>
      </c>
      <c r="Z1084" s="19">
        <v>100</v>
      </c>
      <c r="AA1084" s="22">
        <v>1566806000</v>
      </c>
      <c r="AB1084" s="19">
        <f t="shared" si="407"/>
        <v>99.997127997493067</v>
      </c>
      <c r="AC1084" s="20">
        <f>AA1084</f>
        <v>1566806000</v>
      </c>
      <c r="AD1084" s="19">
        <f t="shared" si="408"/>
        <v>99.997127997493067</v>
      </c>
    </row>
    <row r="1085" spans="1:32" ht="51">
      <c r="A1085" s="1">
        <v>59</v>
      </c>
      <c r="B1085" s="13">
        <f t="shared" si="410"/>
        <v>49</v>
      </c>
      <c r="C1085" s="74" t="s">
        <v>434</v>
      </c>
      <c r="D1085" s="21" t="s">
        <v>435</v>
      </c>
      <c r="E1085" s="204"/>
      <c r="F1085" s="204">
        <v>1</v>
      </c>
      <c r="G1085" s="535" t="s">
        <v>1845</v>
      </c>
      <c r="H1085" s="89"/>
      <c r="I1085" s="193"/>
      <c r="J1085" s="15">
        <v>396400000</v>
      </c>
      <c r="K1085" s="721">
        <v>396400000</v>
      </c>
      <c r="L1085" s="57" t="s">
        <v>1894</v>
      </c>
      <c r="M1085" s="20">
        <v>340000000</v>
      </c>
      <c r="N1085" s="49" t="s">
        <v>2057</v>
      </c>
      <c r="O1085" s="410"/>
      <c r="P1085" s="18"/>
      <c r="Q1085" s="18"/>
      <c r="R1085" s="18"/>
      <c r="S1085" s="18" t="s">
        <v>1458</v>
      </c>
      <c r="T1085" s="643">
        <v>1</v>
      </c>
      <c r="U1085" s="643"/>
      <c r="V1085" s="643">
        <v>1</v>
      </c>
      <c r="W1085" s="643"/>
      <c r="X1085" s="643"/>
      <c r="Y1085" s="461">
        <v>100</v>
      </c>
      <c r="Z1085" s="19">
        <v>100</v>
      </c>
      <c r="AA1085" s="22">
        <v>360150000</v>
      </c>
      <c r="AB1085" s="19">
        <f t="shared" si="407"/>
        <v>90.855196770938448</v>
      </c>
      <c r="AC1085" s="20">
        <f t="shared" si="409"/>
        <v>360150000</v>
      </c>
      <c r="AD1085" s="19">
        <f t="shared" si="408"/>
        <v>90.855196770938448</v>
      </c>
    </row>
    <row r="1086" spans="1:32" ht="63.75">
      <c r="A1086" s="1">
        <v>60</v>
      </c>
      <c r="B1086" s="13">
        <f t="shared" si="410"/>
        <v>50</v>
      </c>
      <c r="C1086" s="74" t="s">
        <v>436</v>
      </c>
      <c r="D1086" s="21" t="s">
        <v>437</v>
      </c>
      <c r="E1086" s="204"/>
      <c r="F1086" s="204">
        <v>1</v>
      </c>
      <c r="G1086" s="535" t="s">
        <v>1845</v>
      </c>
      <c r="H1086" s="89"/>
      <c r="I1086" s="193"/>
      <c r="J1086" s="15">
        <v>636416000</v>
      </c>
      <c r="K1086" s="721">
        <v>514975000</v>
      </c>
      <c r="L1086" s="57" t="s">
        <v>1894</v>
      </c>
      <c r="M1086" s="20">
        <v>485764000</v>
      </c>
      <c r="N1086" s="49" t="s">
        <v>1876</v>
      </c>
      <c r="O1086" s="410" t="s">
        <v>1990</v>
      </c>
      <c r="P1086" s="401" t="s">
        <v>1989</v>
      </c>
      <c r="Q1086" s="18" t="s">
        <v>1994</v>
      </c>
      <c r="R1086" s="18"/>
      <c r="S1086" s="18" t="s">
        <v>1458</v>
      </c>
      <c r="T1086" s="643">
        <v>1</v>
      </c>
      <c r="U1086" s="643"/>
      <c r="V1086" s="643">
        <v>1</v>
      </c>
      <c r="W1086" s="643"/>
      <c r="X1086" s="643"/>
      <c r="Y1086" s="461">
        <v>100</v>
      </c>
      <c r="Z1086" s="19">
        <v>100</v>
      </c>
      <c r="AA1086" s="22">
        <v>514942000</v>
      </c>
      <c r="AB1086" s="19">
        <f t="shared" si="407"/>
        <v>99.993591921937963</v>
      </c>
      <c r="AC1086" s="20">
        <f t="shared" si="409"/>
        <v>514942000</v>
      </c>
      <c r="AD1086" s="19">
        <f t="shared" si="408"/>
        <v>99.993591921937963</v>
      </c>
    </row>
    <row r="1087" spans="1:32" ht="51">
      <c r="A1087" s="1">
        <v>61</v>
      </c>
      <c r="B1087" s="13">
        <f t="shared" si="410"/>
        <v>51</v>
      </c>
      <c r="C1087" s="74" t="s">
        <v>438</v>
      </c>
      <c r="D1087" s="21" t="s">
        <v>439</v>
      </c>
      <c r="E1087" s="204"/>
      <c r="F1087" s="204">
        <v>1</v>
      </c>
      <c r="G1087" s="535" t="s">
        <v>1845</v>
      </c>
      <c r="H1087" s="89"/>
      <c r="I1087" s="193"/>
      <c r="J1087" s="15">
        <v>73825000</v>
      </c>
      <c r="K1087" s="721">
        <v>73825000</v>
      </c>
      <c r="L1087" s="57" t="s">
        <v>1894</v>
      </c>
      <c r="M1087" s="622">
        <v>69245000</v>
      </c>
      <c r="N1087" s="21" t="s">
        <v>1849</v>
      </c>
      <c r="O1087" s="410" t="s">
        <v>1990</v>
      </c>
      <c r="P1087" s="401" t="s">
        <v>1989</v>
      </c>
      <c r="Q1087" s="18" t="s">
        <v>1994</v>
      </c>
      <c r="R1087" s="18"/>
      <c r="S1087" s="18" t="s">
        <v>1458</v>
      </c>
      <c r="T1087" s="643">
        <v>1</v>
      </c>
      <c r="U1087" s="643"/>
      <c r="V1087" s="643">
        <v>1</v>
      </c>
      <c r="W1087" s="643"/>
      <c r="X1087" s="643"/>
      <c r="Y1087" s="461">
        <v>100</v>
      </c>
      <c r="Z1087" s="19">
        <v>100</v>
      </c>
      <c r="AA1087" s="22">
        <v>69180000</v>
      </c>
      <c r="AB1087" s="19">
        <f t="shared" si="407"/>
        <v>93.708093464273617</v>
      </c>
      <c r="AC1087" s="20">
        <f t="shared" si="409"/>
        <v>69180000</v>
      </c>
      <c r="AD1087" s="19">
        <f t="shared" si="408"/>
        <v>93.708093464273617</v>
      </c>
    </row>
    <row r="1088" spans="1:32" ht="25.5">
      <c r="A1088" s="1">
        <v>62</v>
      </c>
      <c r="B1088" s="13">
        <f t="shared" si="410"/>
        <v>52</v>
      </c>
      <c r="C1088" s="74" t="s">
        <v>440</v>
      </c>
      <c r="D1088" s="21" t="s">
        <v>441</v>
      </c>
      <c r="E1088" s="204"/>
      <c r="F1088" s="204">
        <v>1</v>
      </c>
      <c r="G1088" s="535" t="s">
        <v>1845</v>
      </c>
      <c r="H1088" s="89"/>
      <c r="I1088" s="193"/>
      <c r="J1088" s="15">
        <v>1279098000</v>
      </c>
      <c r="K1088" s="721">
        <v>1076180000</v>
      </c>
      <c r="L1088" s="57" t="s">
        <v>1894</v>
      </c>
      <c r="M1088" s="622">
        <v>1031404000</v>
      </c>
      <c r="N1088" s="49" t="s">
        <v>1856</v>
      </c>
      <c r="O1088" s="410" t="s">
        <v>1990</v>
      </c>
      <c r="P1088" s="401" t="s">
        <v>1989</v>
      </c>
      <c r="Q1088" s="18" t="s">
        <v>1994</v>
      </c>
      <c r="R1088" s="18"/>
      <c r="S1088" s="18" t="s">
        <v>1458</v>
      </c>
      <c r="T1088" s="643">
        <v>1</v>
      </c>
      <c r="U1088" s="643"/>
      <c r="V1088" s="643">
        <v>1</v>
      </c>
      <c r="W1088" s="124"/>
      <c r="X1088" s="124"/>
      <c r="Y1088" s="461">
        <v>100</v>
      </c>
      <c r="Z1088" s="19">
        <v>100</v>
      </c>
      <c r="AA1088" s="22">
        <v>1076135000</v>
      </c>
      <c r="AB1088" s="19">
        <f t="shared" si="407"/>
        <v>99.995818543366354</v>
      </c>
      <c r="AC1088" s="20">
        <f t="shared" si="409"/>
        <v>1076135000</v>
      </c>
      <c r="AD1088" s="19">
        <f t="shared" si="408"/>
        <v>99.995818543366354</v>
      </c>
      <c r="AF1088" s="71"/>
    </row>
    <row r="1089" spans="1:34" ht="51">
      <c r="A1089" s="1">
        <v>63</v>
      </c>
      <c r="B1089" s="13">
        <f t="shared" si="410"/>
        <v>53</v>
      </c>
      <c r="C1089" s="74" t="s">
        <v>442</v>
      </c>
      <c r="D1089" s="21" t="s">
        <v>443</v>
      </c>
      <c r="E1089" s="204"/>
      <c r="F1089" s="204">
        <v>1</v>
      </c>
      <c r="G1089" s="535" t="s">
        <v>1845</v>
      </c>
      <c r="H1089" s="89"/>
      <c r="I1089" s="193"/>
      <c r="J1089" s="15">
        <v>1175713000</v>
      </c>
      <c r="K1089" s="721">
        <v>935814000</v>
      </c>
      <c r="L1089" s="57" t="s">
        <v>1894</v>
      </c>
      <c r="M1089" s="22">
        <v>891581000</v>
      </c>
      <c r="N1089" s="49" t="s">
        <v>1885</v>
      </c>
      <c r="O1089" s="401" t="s">
        <v>1992</v>
      </c>
      <c r="P1089" s="401" t="s">
        <v>1997</v>
      </c>
      <c r="Q1089" s="17" t="s">
        <v>1994</v>
      </c>
      <c r="R1089" s="17"/>
      <c r="S1089" s="17" t="s">
        <v>1458</v>
      </c>
      <c r="T1089" s="124">
        <v>1</v>
      </c>
      <c r="U1089" s="124"/>
      <c r="V1089" s="124">
        <v>1</v>
      </c>
      <c r="W1089" s="124"/>
      <c r="X1089" s="124"/>
      <c r="Y1089" s="461">
        <v>100</v>
      </c>
      <c r="Z1089" s="19">
        <v>100</v>
      </c>
      <c r="AA1089" s="22">
        <v>935777000</v>
      </c>
      <c r="AB1089" s="19">
        <f t="shared" si="407"/>
        <v>99.996046222860528</v>
      </c>
      <c r="AC1089" s="20">
        <f t="shared" si="409"/>
        <v>935777000</v>
      </c>
      <c r="AD1089" s="19">
        <f t="shared" si="408"/>
        <v>99.996046222860528</v>
      </c>
      <c r="AF1089" s="71"/>
    </row>
    <row r="1090" spans="1:34" ht="38.25">
      <c r="A1090" s="1">
        <v>64</v>
      </c>
      <c r="B1090" s="13">
        <f t="shared" si="410"/>
        <v>54</v>
      </c>
      <c r="C1090" s="74" t="s">
        <v>444</v>
      </c>
      <c r="D1090" s="21" t="s">
        <v>445</v>
      </c>
      <c r="E1090" s="204"/>
      <c r="F1090" s="204">
        <v>1</v>
      </c>
      <c r="G1090" s="535" t="s">
        <v>1845</v>
      </c>
      <c r="H1090" s="89"/>
      <c r="I1090" s="193"/>
      <c r="J1090" s="15">
        <v>1717703000</v>
      </c>
      <c r="K1090" s="721">
        <v>1374282000</v>
      </c>
      <c r="L1090" s="57" t="s">
        <v>1894</v>
      </c>
      <c r="M1090" s="22">
        <v>1333999000</v>
      </c>
      <c r="N1090" s="49" t="s">
        <v>1870</v>
      </c>
      <c r="O1090" s="401" t="s">
        <v>1992</v>
      </c>
      <c r="P1090" s="401" t="s">
        <v>1997</v>
      </c>
      <c r="Q1090" s="17" t="s">
        <v>1994</v>
      </c>
      <c r="R1090" s="17"/>
      <c r="S1090" s="17" t="s">
        <v>1458</v>
      </c>
      <c r="T1090" s="124">
        <v>1</v>
      </c>
      <c r="U1090" s="124"/>
      <c r="V1090" s="124">
        <v>1</v>
      </c>
      <c r="W1090" s="124"/>
      <c r="X1090" s="124"/>
      <c r="Y1090" s="461">
        <v>100</v>
      </c>
      <c r="Z1090" s="19">
        <v>100</v>
      </c>
      <c r="AA1090" s="22">
        <v>1374246000</v>
      </c>
      <c r="AB1090" s="19">
        <f t="shared" si="407"/>
        <v>99.997380450300582</v>
      </c>
      <c r="AC1090" s="20">
        <f>AA1090</f>
        <v>1374246000</v>
      </c>
      <c r="AD1090" s="19">
        <f t="shared" si="408"/>
        <v>99.997380450300582</v>
      </c>
      <c r="AF1090" s="71"/>
    </row>
    <row r="1091" spans="1:34" ht="38.25">
      <c r="A1091" s="1">
        <v>65</v>
      </c>
      <c r="B1091" s="13">
        <f t="shared" si="410"/>
        <v>55</v>
      </c>
      <c r="C1091" s="74" t="s">
        <v>446</v>
      </c>
      <c r="D1091" s="21" t="s">
        <v>447</v>
      </c>
      <c r="E1091" s="204"/>
      <c r="F1091" s="204">
        <v>1</v>
      </c>
      <c r="G1091" s="535" t="s">
        <v>1845</v>
      </c>
      <c r="H1091" s="89"/>
      <c r="I1091" s="193"/>
      <c r="J1091" s="15">
        <v>324417000</v>
      </c>
      <c r="K1091" s="721">
        <v>324417000</v>
      </c>
      <c r="L1091" s="57" t="s">
        <v>1894</v>
      </c>
      <c r="M1091" s="22">
        <v>292000000</v>
      </c>
      <c r="N1091" s="49" t="s">
        <v>1879</v>
      </c>
      <c r="O1091" s="401" t="s">
        <v>1990</v>
      </c>
      <c r="P1091" s="401" t="s">
        <v>1996</v>
      </c>
      <c r="Q1091" s="17" t="s">
        <v>1994</v>
      </c>
      <c r="R1091" s="17"/>
      <c r="S1091" s="17" t="s">
        <v>1458</v>
      </c>
      <c r="T1091" s="124">
        <v>1</v>
      </c>
      <c r="U1091" s="124"/>
      <c r="V1091" s="124">
        <v>1</v>
      </c>
      <c r="W1091" s="124"/>
      <c r="X1091" s="124"/>
      <c r="Y1091" s="461">
        <v>100</v>
      </c>
      <c r="Z1091" s="19">
        <v>100</v>
      </c>
      <c r="AA1091" s="22">
        <v>307699000</v>
      </c>
      <c r="AB1091" s="19">
        <f t="shared" si="407"/>
        <v>94.846755872842664</v>
      </c>
      <c r="AC1091" s="20">
        <f>AA1091</f>
        <v>307699000</v>
      </c>
      <c r="AD1091" s="19">
        <f t="shared" si="408"/>
        <v>94.846755872842664</v>
      </c>
      <c r="AF1091" s="71"/>
    </row>
    <row r="1092" spans="1:34" ht="63.75">
      <c r="A1092" s="1">
        <v>66</v>
      </c>
      <c r="B1092" s="13">
        <f t="shared" si="410"/>
        <v>56</v>
      </c>
      <c r="C1092" s="74" t="s">
        <v>448</v>
      </c>
      <c r="D1092" s="21" t="s">
        <v>449</v>
      </c>
      <c r="E1092" s="204"/>
      <c r="F1092" s="204">
        <v>1</v>
      </c>
      <c r="G1092" s="535" t="s">
        <v>1845</v>
      </c>
      <c r="H1092" s="89"/>
      <c r="I1092" s="193"/>
      <c r="J1092" s="15">
        <v>1939641000</v>
      </c>
      <c r="K1092" s="721">
        <v>1939641000</v>
      </c>
      <c r="L1092" s="57" t="s">
        <v>1894</v>
      </c>
      <c r="M1092" s="22">
        <v>1696000000</v>
      </c>
      <c r="N1092" s="49" t="s">
        <v>1880</v>
      </c>
      <c r="O1092" s="401" t="s">
        <v>1990</v>
      </c>
      <c r="P1092" s="401" t="s">
        <v>1989</v>
      </c>
      <c r="Q1092" s="17" t="s">
        <v>1994</v>
      </c>
      <c r="R1092" s="17"/>
      <c r="S1092" s="17" t="s">
        <v>1458</v>
      </c>
      <c r="T1092" s="124">
        <v>1</v>
      </c>
      <c r="U1092" s="124"/>
      <c r="V1092" s="124">
        <v>1</v>
      </c>
      <c r="W1092" s="124"/>
      <c r="X1092" s="124"/>
      <c r="Y1092" s="461">
        <v>100</v>
      </c>
      <c r="Z1092" s="19">
        <v>100</v>
      </c>
      <c r="AA1092" s="22">
        <v>1755917000</v>
      </c>
      <c r="AB1092" s="19">
        <f t="shared" si="407"/>
        <v>90.527937901910718</v>
      </c>
      <c r="AC1092" s="20">
        <f>AA1092</f>
        <v>1755917000</v>
      </c>
      <c r="AD1092" s="19">
        <f t="shared" si="408"/>
        <v>90.527937901910718</v>
      </c>
      <c r="AF1092" s="71"/>
    </row>
    <row r="1093" spans="1:34" ht="25.5">
      <c r="A1093" s="1">
        <v>67</v>
      </c>
      <c r="B1093" s="13">
        <f t="shared" si="410"/>
        <v>57</v>
      </c>
      <c r="C1093" s="81">
        <v>16.056000000000001</v>
      </c>
      <c r="D1093" s="21" t="s">
        <v>450</v>
      </c>
      <c r="E1093" s="204"/>
      <c r="F1093" s="204">
        <v>1</v>
      </c>
      <c r="G1093" s="535" t="s">
        <v>1845</v>
      </c>
      <c r="H1093" s="89"/>
      <c r="I1093" s="193"/>
      <c r="J1093" s="15">
        <v>434777000</v>
      </c>
      <c r="K1093" s="721">
        <v>434777000</v>
      </c>
      <c r="L1093" s="57"/>
      <c r="M1093" s="22">
        <v>319045000</v>
      </c>
      <c r="N1093" s="49" t="s">
        <v>1856</v>
      </c>
      <c r="O1093" s="57"/>
      <c r="P1093" s="57"/>
      <c r="Q1093" s="17"/>
      <c r="R1093" s="17"/>
      <c r="S1093" s="17"/>
      <c r="T1093" s="124">
        <v>1</v>
      </c>
      <c r="U1093" s="124"/>
      <c r="V1093" s="124">
        <v>1</v>
      </c>
      <c r="W1093" s="124"/>
      <c r="X1093" s="124"/>
      <c r="Y1093" s="461">
        <v>100</v>
      </c>
      <c r="Z1093" s="19">
        <v>100</v>
      </c>
      <c r="AA1093" s="22">
        <v>338714000</v>
      </c>
      <c r="AB1093" s="19">
        <f t="shared" si="407"/>
        <v>77.905224977402213</v>
      </c>
      <c r="AC1093" s="20">
        <f t="shared" si="409"/>
        <v>338714000</v>
      </c>
      <c r="AD1093" s="19">
        <f t="shared" si="408"/>
        <v>77.905224977402213</v>
      </c>
      <c r="AG1093" s="71"/>
    </row>
    <row r="1094" spans="1:34" ht="38.25">
      <c r="A1094" s="1">
        <v>68</v>
      </c>
      <c r="B1094" s="13">
        <f t="shared" si="410"/>
        <v>58</v>
      </c>
      <c r="C1094" s="74" t="s">
        <v>451</v>
      </c>
      <c r="D1094" s="21" t="s">
        <v>452</v>
      </c>
      <c r="E1094" s="204"/>
      <c r="F1094" s="204">
        <v>1</v>
      </c>
      <c r="G1094" s="535" t="s">
        <v>1845</v>
      </c>
      <c r="H1094" s="89"/>
      <c r="I1094" s="193"/>
      <c r="J1094" s="15">
        <v>517591000</v>
      </c>
      <c r="K1094" s="721">
        <v>414801000</v>
      </c>
      <c r="L1094" s="57" t="s">
        <v>1894</v>
      </c>
      <c r="M1094" s="22">
        <v>390390000</v>
      </c>
      <c r="N1094" s="49" t="s">
        <v>1857</v>
      </c>
      <c r="O1094" s="407" t="s">
        <v>1990</v>
      </c>
      <c r="P1094" s="407" t="s">
        <v>1996</v>
      </c>
      <c r="Q1094" s="17" t="s">
        <v>1994</v>
      </c>
      <c r="R1094" s="17"/>
      <c r="S1094" s="17" t="s">
        <v>1458</v>
      </c>
      <c r="T1094" s="124">
        <v>1</v>
      </c>
      <c r="U1094" s="124"/>
      <c r="V1094" s="124">
        <v>1</v>
      </c>
      <c r="W1094" s="124"/>
      <c r="X1094" s="124"/>
      <c r="Y1094" s="461">
        <v>100</v>
      </c>
      <c r="Z1094" s="19">
        <v>100</v>
      </c>
      <c r="AA1094" s="22">
        <v>413607000</v>
      </c>
      <c r="AB1094" s="19">
        <f t="shared" ref="AB1094:AB1157" si="411">AA1094/K1094*100</f>
        <v>99.712151127890237</v>
      </c>
      <c r="AC1094" s="20">
        <f t="shared" si="409"/>
        <v>413607000</v>
      </c>
      <c r="AD1094" s="19">
        <f t="shared" ref="AD1094:AD1157" si="412">AC1094/K1094*100</f>
        <v>99.712151127890237</v>
      </c>
      <c r="AH1094" s="71"/>
    </row>
    <row r="1095" spans="1:34" ht="51">
      <c r="A1095" s="1">
        <v>69</v>
      </c>
      <c r="B1095" s="13">
        <f t="shared" si="410"/>
        <v>59</v>
      </c>
      <c r="C1095" s="74" t="s">
        <v>453</v>
      </c>
      <c r="D1095" s="21" t="s">
        <v>454</v>
      </c>
      <c r="E1095" s="204"/>
      <c r="F1095" s="204">
        <v>1</v>
      </c>
      <c r="G1095" s="535" t="s">
        <v>1845</v>
      </c>
      <c r="H1095" s="89"/>
      <c r="I1095" s="193"/>
      <c r="J1095" s="15">
        <v>441730000</v>
      </c>
      <c r="K1095" s="721">
        <v>441730000</v>
      </c>
      <c r="L1095" s="57" t="s">
        <v>1894</v>
      </c>
      <c r="M1095" s="22">
        <v>368436000</v>
      </c>
      <c r="N1095" s="49" t="s">
        <v>1874</v>
      </c>
      <c r="O1095" s="407" t="s">
        <v>1990</v>
      </c>
      <c r="P1095" s="407" t="s">
        <v>1989</v>
      </c>
      <c r="Q1095" s="17" t="s">
        <v>1994</v>
      </c>
      <c r="R1095" s="17"/>
      <c r="S1095" s="17" t="s">
        <v>1458</v>
      </c>
      <c r="T1095" s="124">
        <v>1</v>
      </c>
      <c r="U1095" s="124"/>
      <c r="V1095" s="124">
        <v>1</v>
      </c>
      <c r="W1095" s="124"/>
      <c r="X1095" s="124"/>
      <c r="Y1095" s="461">
        <v>100</v>
      </c>
      <c r="Z1095" s="19">
        <v>100</v>
      </c>
      <c r="AA1095" s="22">
        <v>390405000</v>
      </c>
      <c r="AB1095" s="19">
        <f t="shared" si="411"/>
        <v>88.380911416476124</v>
      </c>
      <c r="AC1095" s="20">
        <f t="shared" si="409"/>
        <v>390405000</v>
      </c>
      <c r="AD1095" s="19">
        <f t="shared" si="412"/>
        <v>88.380911416476124</v>
      </c>
      <c r="AH1095" s="71"/>
    </row>
    <row r="1096" spans="1:34" ht="25.5">
      <c r="A1096" s="1">
        <v>70</v>
      </c>
      <c r="B1096" s="13">
        <f t="shared" si="410"/>
        <v>60</v>
      </c>
      <c r="C1096" s="81">
        <v>16.062000000000001</v>
      </c>
      <c r="D1096" s="21" t="s">
        <v>455</v>
      </c>
      <c r="E1096" s="204"/>
      <c r="F1096" s="204">
        <v>1</v>
      </c>
      <c r="G1096" s="535" t="s">
        <v>1845</v>
      </c>
      <c r="H1096" s="89"/>
      <c r="I1096" s="193"/>
      <c r="J1096" s="15">
        <v>2487919000</v>
      </c>
      <c r="K1096" s="721">
        <v>2065696000</v>
      </c>
      <c r="L1096" s="57" t="s">
        <v>1894</v>
      </c>
      <c r="M1096" s="622">
        <v>1978968000</v>
      </c>
      <c r="N1096" s="49" t="s">
        <v>1852</v>
      </c>
      <c r="O1096" s="407" t="s">
        <v>1990</v>
      </c>
      <c r="P1096" s="407" t="s">
        <v>1989</v>
      </c>
      <c r="Q1096" s="17" t="s">
        <v>1994</v>
      </c>
      <c r="R1096" s="17"/>
      <c r="S1096" s="17" t="s">
        <v>1458</v>
      </c>
      <c r="T1096" s="124">
        <v>1</v>
      </c>
      <c r="U1096" s="124"/>
      <c r="V1096" s="124">
        <v>1</v>
      </c>
      <c r="W1096" s="124"/>
      <c r="X1096" s="124"/>
      <c r="Y1096" s="461">
        <v>100</v>
      </c>
      <c r="Z1096" s="19">
        <v>100</v>
      </c>
      <c r="AA1096" s="22">
        <v>2062519500</v>
      </c>
      <c r="AB1096" s="19">
        <f t="shared" si="411"/>
        <v>99.846226162997837</v>
      </c>
      <c r="AC1096" s="20">
        <f t="shared" si="409"/>
        <v>2062519500</v>
      </c>
      <c r="AD1096" s="19">
        <f t="shared" si="412"/>
        <v>99.846226162997837</v>
      </c>
      <c r="AH1096" s="71"/>
    </row>
    <row r="1097" spans="1:34" ht="63.75">
      <c r="A1097" s="1">
        <v>71</v>
      </c>
      <c r="B1097" s="13">
        <f t="shared" si="410"/>
        <v>61</v>
      </c>
      <c r="C1097" s="81">
        <v>16.065000000000001</v>
      </c>
      <c r="D1097" s="21" t="s">
        <v>456</v>
      </c>
      <c r="E1097" s="204"/>
      <c r="F1097" s="204">
        <v>1</v>
      </c>
      <c r="G1097" s="535" t="s">
        <v>1845</v>
      </c>
      <c r="H1097" s="89"/>
      <c r="I1097" s="193"/>
      <c r="J1097" s="15">
        <v>2724950000</v>
      </c>
      <c r="K1097" s="721">
        <v>2251325000</v>
      </c>
      <c r="L1097" s="57" t="s">
        <v>1894</v>
      </c>
      <c r="M1097" s="625">
        <v>2148960000</v>
      </c>
      <c r="N1097" s="49" t="s">
        <v>1853</v>
      </c>
      <c r="O1097" s="411" t="s">
        <v>1990</v>
      </c>
      <c r="P1097" s="407" t="s">
        <v>1998</v>
      </c>
      <c r="Q1097" s="18" t="s">
        <v>1994</v>
      </c>
      <c r="R1097" s="18"/>
      <c r="S1097" s="18" t="s">
        <v>1458</v>
      </c>
      <c r="T1097" s="643">
        <v>1</v>
      </c>
      <c r="U1097" s="643"/>
      <c r="V1097" s="643">
        <v>1</v>
      </c>
      <c r="W1097" s="643"/>
      <c r="X1097" s="643"/>
      <c r="Y1097" s="461">
        <v>100</v>
      </c>
      <c r="Z1097" s="19">
        <v>100</v>
      </c>
      <c r="AA1097" s="22">
        <v>2250932000</v>
      </c>
      <c r="AB1097" s="19">
        <f t="shared" si="411"/>
        <v>99.98254361320555</v>
      </c>
      <c r="AC1097" s="20">
        <f t="shared" si="409"/>
        <v>2250932000</v>
      </c>
      <c r="AD1097" s="19">
        <f t="shared" si="412"/>
        <v>99.98254361320555</v>
      </c>
      <c r="AH1097" s="71"/>
    </row>
    <row r="1098" spans="1:34" ht="51">
      <c r="A1098" s="1">
        <v>72</v>
      </c>
      <c r="B1098" s="13">
        <f t="shared" si="410"/>
        <v>62</v>
      </c>
      <c r="C1098" s="81">
        <v>16.067</v>
      </c>
      <c r="D1098" s="21" t="s">
        <v>457</v>
      </c>
      <c r="E1098" s="204"/>
      <c r="F1098" s="204">
        <v>1</v>
      </c>
      <c r="G1098" s="535" t="s">
        <v>1845</v>
      </c>
      <c r="H1098" s="89"/>
      <c r="I1098" s="193"/>
      <c r="J1098" s="15">
        <v>11523679000</v>
      </c>
      <c r="K1098" s="721">
        <v>11523679000</v>
      </c>
      <c r="L1098" s="57"/>
      <c r="M1098" s="20">
        <v>10905070000</v>
      </c>
      <c r="N1098" s="49" t="s">
        <v>2051</v>
      </c>
      <c r="O1098" s="18"/>
      <c r="P1098" s="18"/>
      <c r="Q1098" s="18"/>
      <c r="R1098" s="18"/>
      <c r="S1098" s="18" t="s">
        <v>1458</v>
      </c>
      <c r="T1098" s="643">
        <v>1</v>
      </c>
      <c r="U1098" s="643"/>
      <c r="V1098" s="643">
        <v>1</v>
      </c>
      <c r="W1098" s="643"/>
      <c r="X1098" s="643"/>
      <c r="Y1098" s="461">
        <v>100</v>
      </c>
      <c r="Z1098" s="19">
        <v>100</v>
      </c>
      <c r="AA1098" s="22">
        <v>10963677000</v>
      </c>
      <c r="AB1098" s="19">
        <f t="shared" si="411"/>
        <v>95.140423470664189</v>
      </c>
      <c r="AC1098" s="20">
        <f t="shared" si="409"/>
        <v>10963677000</v>
      </c>
      <c r="AD1098" s="19">
        <f t="shared" si="412"/>
        <v>95.140423470664189</v>
      </c>
    </row>
    <row r="1099" spans="1:34" s="71" customFormat="1" ht="38.25">
      <c r="A1099" s="1">
        <v>73</v>
      </c>
      <c r="B1099" s="13">
        <f t="shared" si="410"/>
        <v>63</v>
      </c>
      <c r="C1099" s="81">
        <v>16.068000000000001</v>
      </c>
      <c r="D1099" s="21" t="s">
        <v>458</v>
      </c>
      <c r="E1099" s="204"/>
      <c r="F1099" s="204">
        <v>1</v>
      </c>
      <c r="G1099" s="535" t="s">
        <v>1845</v>
      </c>
      <c r="H1099" s="204">
        <v>1</v>
      </c>
      <c r="I1099" s="535" t="s">
        <v>1845</v>
      </c>
      <c r="J1099" s="15">
        <v>1931889000</v>
      </c>
      <c r="K1099" s="721">
        <v>0</v>
      </c>
      <c r="L1099" s="57"/>
      <c r="M1099" s="20"/>
      <c r="N1099" s="49"/>
      <c r="O1099" s="18"/>
      <c r="P1099" s="18"/>
      <c r="Q1099" s="18"/>
      <c r="R1099" s="18"/>
      <c r="S1099" s="18"/>
      <c r="T1099" s="643"/>
      <c r="U1099" s="643"/>
      <c r="V1099" s="643"/>
      <c r="W1099" s="643"/>
      <c r="X1099" s="643"/>
      <c r="Y1099" s="461">
        <v>0</v>
      </c>
      <c r="Z1099" s="19">
        <v>0</v>
      </c>
      <c r="AA1099" s="22">
        <v>0</v>
      </c>
      <c r="AB1099" s="19">
        <v>0</v>
      </c>
      <c r="AC1099" s="20">
        <f t="shared" si="409"/>
        <v>0</v>
      </c>
      <c r="AD1099" s="19">
        <v>0</v>
      </c>
      <c r="AE1099" s="2"/>
      <c r="AF1099" s="2"/>
      <c r="AG1099" s="2"/>
      <c r="AH1099" s="2"/>
    </row>
    <row r="1100" spans="1:34" ht="63.75">
      <c r="A1100" s="1">
        <v>74</v>
      </c>
      <c r="B1100" s="13">
        <f t="shared" si="410"/>
        <v>64</v>
      </c>
      <c r="C1100" s="81">
        <v>16.068999999999999</v>
      </c>
      <c r="D1100" s="21" t="s">
        <v>459</v>
      </c>
      <c r="E1100" s="204"/>
      <c r="F1100" s="204">
        <v>1</v>
      </c>
      <c r="G1100" s="535" t="s">
        <v>1845</v>
      </c>
      <c r="H1100" s="89"/>
      <c r="I1100" s="193"/>
      <c r="J1100" s="15">
        <v>2900884000</v>
      </c>
      <c r="K1100" s="721">
        <v>2579194000</v>
      </c>
      <c r="L1100" s="57" t="s">
        <v>1894</v>
      </c>
      <c r="M1100" s="625">
        <v>2475000000</v>
      </c>
      <c r="N1100" s="49" t="s">
        <v>1859</v>
      </c>
      <c r="O1100" s="401" t="s">
        <v>1990</v>
      </c>
      <c r="P1100" s="401" t="s">
        <v>1996</v>
      </c>
      <c r="Q1100" s="18" t="s">
        <v>1994</v>
      </c>
      <c r="R1100" s="18"/>
      <c r="S1100" s="18" t="s">
        <v>1458</v>
      </c>
      <c r="T1100" s="643">
        <v>1</v>
      </c>
      <c r="U1100" s="643"/>
      <c r="V1100" s="643">
        <v>1</v>
      </c>
      <c r="W1100" s="643"/>
      <c r="X1100" s="643"/>
      <c r="Y1100" s="461">
        <v>100</v>
      </c>
      <c r="Z1100" s="19">
        <v>100</v>
      </c>
      <c r="AA1100" s="22">
        <v>2578640795</v>
      </c>
      <c r="AB1100" s="19">
        <f t="shared" si="411"/>
        <v>99.97855124507889</v>
      </c>
      <c r="AC1100" s="20">
        <f t="shared" si="409"/>
        <v>2578640795</v>
      </c>
      <c r="AD1100" s="19">
        <f t="shared" si="412"/>
        <v>99.97855124507889</v>
      </c>
    </row>
    <row r="1101" spans="1:34" ht="51">
      <c r="A1101" s="1">
        <v>75</v>
      </c>
      <c r="B1101" s="13">
        <f t="shared" si="410"/>
        <v>65</v>
      </c>
      <c r="C1101" s="164" t="s">
        <v>460</v>
      </c>
      <c r="D1101" s="21" t="s">
        <v>461</v>
      </c>
      <c r="E1101" s="204"/>
      <c r="F1101" s="204">
        <v>1</v>
      </c>
      <c r="G1101" s="535" t="s">
        <v>1845</v>
      </c>
      <c r="H1101" s="89"/>
      <c r="I1101" s="193"/>
      <c r="J1101" s="15">
        <v>315481000</v>
      </c>
      <c r="K1101" s="721">
        <v>315481000</v>
      </c>
      <c r="L1101" s="57" t="s">
        <v>1894</v>
      </c>
      <c r="M1101" s="20">
        <v>289537000</v>
      </c>
      <c r="N1101" s="49" t="s">
        <v>1855</v>
      </c>
      <c r="O1101" s="410" t="s">
        <v>1990</v>
      </c>
      <c r="P1101" s="401" t="s">
        <v>1989</v>
      </c>
      <c r="Q1101" s="18" t="s">
        <v>1994</v>
      </c>
      <c r="R1101" s="18"/>
      <c r="S1101" s="18" t="s">
        <v>1458</v>
      </c>
      <c r="T1101" s="643">
        <v>1</v>
      </c>
      <c r="U1101" s="643"/>
      <c r="V1101" s="643">
        <v>1</v>
      </c>
      <c r="W1101" s="643"/>
      <c r="X1101" s="643"/>
      <c r="Y1101" s="461">
        <v>100</v>
      </c>
      <c r="Z1101" s="19">
        <v>100</v>
      </c>
      <c r="AA1101" s="22">
        <v>306604795</v>
      </c>
      <c r="AB1101" s="19">
        <f t="shared" si="411"/>
        <v>97.18645338388049</v>
      </c>
      <c r="AC1101" s="20">
        <f t="shared" si="409"/>
        <v>306604795</v>
      </c>
      <c r="AD1101" s="19">
        <f t="shared" si="412"/>
        <v>97.18645338388049</v>
      </c>
    </row>
    <row r="1102" spans="1:34" ht="51">
      <c r="A1102" s="1">
        <v>76</v>
      </c>
      <c r="B1102" s="13">
        <f t="shared" ref="B1102:B1127" si="413">B1101+1</f>
        <v>66</v>
      </c>
      <c r="C1102" s="81">
        <v>16.074999999999999</v>
      </c>
      <c r="D1102" s="21" t="s">
        <v>462</v>
      </c>
      <c r="E1102" s="204"/>
      <c r="F1102" s="204">
        <v>1</v>
      </c>
      <c r="G1102" s="535" t="s">
        <v>1845</v>
      </c>
      <c r="H1102" s="89"/>
      <c r="I1102" s="193" t="s">
        <v>1</v>
      </c>
      <c r="J1102" s="15">
        <v>1033810000</v>
      </c>
      <c r="K1102" s="721">
        <v>846392000</v>
      </c>
      <c r="L1102" s="57" t="s">
        <v>1894</v>
      </c>
      <c r="M1102" s="20">
        <v>807552000</v>
      </c>
      <c r="N1102" s="49" t="s">
        <v>1874</v>
      </c>
      <c r="O1102" s="410" t="s">
        <v>1990</v>
      </c>
      <c r="P1102" s="401" t="s">
        <v>1989</v>
      </c>
      <c r="Q1102" s="18" t="s">
        <v>1994</v>
      </c>
      <c r="R1102" s="18"/>
      <c r="S1102" s="18" t="s">
        <v>1458</v>
      </c>
      <c r="T1102" s="643">
        <v>1</v>
      </c>
      <c r="U1102" s="643"/>
      <c r="V1102" s="643">
        <v>1</v>
      </c>
      <c r="W1102" s="643"/>
      <c r="X1102" s="643"/>
      <c r="Y1102" s="461">
        <v>100</v>
      </c>
      <c r="Z1102" s="19">
        <v>100</v>
      </c>
      <c r="AA1102" s="22">
        <v>846360000</v>
      </c>
      <c r="AB1102" s="19">
        <f t="shared" si="411"/>
        <v>99.9962192459286</v>
      </c>
      <c r="AC1102" s="20">
        <f t="shared" si="409"/>
        <v>846360000</v>
      </c>
      <c r="AD1102" s="19">
        <f t="shared" si="412"/>
        <v>99.9962192459286</v>
      </c>
    </row>
    <row r="1103" spans="1:34" ht="38.25">
      <c r="A1103" s="1">
        <v>77</v>
      </c>
      <c r="B1103" s="13">
        <f t="shared" si="413"/>
        <v>67</v>
      </c>
      <c r="C1103" s="81">
        <v>16.076000000000001</v>
      </c>
      <c r="D1103" s="21" t="s">
        <v>463</v>
      </c>
      <c r="E1103" s="204"/>
      <c r="F1103" s="204">
        <v>1</v>
      </c>
      <c r="G1103" s="535" t="s">
        <v>1845</v>
      </c>
      <c r="H1103" s="89"/>
      <c r="I1103" s="193"/>
      <c r="J1103" s="15">
        <v>499511000</v>
      </c>
      <c r="K1103" s="721">
        <v>499511000</v>
      </c>
      <c r="L1103" s="57" t="s">
        <v>1894</v>
      </c>
      <c r="M1103" s="20">
        <v>404040000</v>
      </c>
      <c r="N1103" s="49" t="s">
        <v>1865</v>
      </c>
      <c r="O1103" s="410" t="s">
        <v>1990</v>
      </c>
      <c r="P1103" s="401" t="s">
        <v>1989</v>
      </c>
      <c r="Q1103" s="18" t="s">
        <v>1994</v>
      </c>
      <c r="R1103" s="18"/>
      <c r="S1103" s="18" t="s">
        <v>1458</v>
      </c>
      <c r="T1103" s="643">
        <v>1</v>
      </c>
      <c r="U1103" s="643"/>
      <c r="V1103" s="643">
        <v>1</v>
      </c>
      <c r="W1103" s="643"/>
      <c r="X1103" s="643"/>
      <c r="Y1103" s="461">
        <v>100</v>
      </c>
      <c r="Z1103" s="19">
        <v>100</v>
      </c>
      <c r="AA1103" s="22">
        <v>426808000</v>
      </c>
      <c r="AB1103" s="19">
        <f t="shared" si="411"/>
        <v>85.445165371733552</v>
      </c>
      <c r="AC1103" s="20">
        <f t="shared" si="409"/>
        <v>426808000</v>
      </c>
      <c r="AD1103" s="19">
        <f t="shared" si="412"/>
        <v>85.445165371733552</v>
      </c>
    </row>
    <row r="1104" spans="1:34" ht="38.25">
      <c r="A1104" s="1">
        <v>78</v>
      </c>
      <c r="B1104" s="13">
        <f t="shared" si="413"/>
        <v>68</v>
      </c>
      <c r="C1104" s="81">
        <v>16.077000000000002</v>
      </c>
      <c r="D1104" s="21" t="s">
        <v>464</v>
      </c>
      <c r="E1104" s="204"/>
      <c r="F1104" s="204">
        <v>1</v>
      </c>
      <c r="G1104" s="535" t="s">
        <v>1845</v>
      </c>
      <c r="H1104" s="89"/>
      <c r="I1104" s="193"/>
      <c r="J1104" s="15">
        <v>930686000</v>
      </c>
      <c r="K1104" s="721">
        <v>802109000</v>
      </c>
      <c r="L1104" s="57" t="s">
        <v>1894</v>
      </c>
      <c r="M1104" s="20">
        <v>764419000</v>
      </c>
      <c r="N1104" s="49" t="s">
        <v>1881</v>
      </c>
      <c r="O1104" s="410" t="s">
        <v>1990</v>
      </c>
      <c r="P1104" s="401" t="s">
        <v>1989</v>
      </c>
      <c r="Q1104" s="18" t="s">
        <v>1994</v>
      </c>
      <c r="R1104" s="18"/>
      <c r="S1104" s="18" t="s">
        <v>1458</v>
      </c>
      <c r="T1104" s="643">
        <v>1</v>
      </c>
      <c r="U1104" s="643"/>
      <c r="V1104" s="643">
        <v>1</v>
      </c>
      <c r="W1104" s="643"/>
      <c r="X1104" s="643"/>
      <c r="Y1104" s="461">
        <v>100</v>
      </c>
      <c r="Z1104" s="19">
        <v>100</v>
      </c>
      <c r="AA1104" s="22">
        <v>802032000</v>
      </c>
      <c r="AB1104" s="19">
        <f t="shared" si="411"/>
        <v>99.990400307190171</v>
      </c>
      <c r="AC1104" s="20">
        <f t="shared" si="409"/>
        <v>802032000</v>
      </c>
      <c r="AD1104" s="19">
        <f t="shared" si="412"/>
        <v>99.990400307190171</v>
      </c>
    </row>
    <row r="1105" spans="1:30" ht="25.5">
      <c r="A1105" s="1">
        <v>79</v>
      </c>
      <c r="B1105" s="13">
        <f t="shared" si="413"/>
        <v>69</v>
      </c>
      <c r="C1105" s="81">
        <v>16.077999999999999</v>
      </c>
      <c r="D1105" s="21" t="s">
        <v>465</v>
      </c>
      <c r="E1105" s="204"/>
      <c r="F1105" s="204">
        <v>1</v>
      </c>
      <c r="G1105" s="535" t="s">
        <v>1845</v>
      </c>
      <c r="H1105" s="89"/>
      <c r="I1105" s="193"/>
      <c r="J1105" s="15">
        <v>298777000</v>
      </c>
      <c r="K1105" s="721">
        <v>298777000</v>
      </c>
      <c r="L1105" s="57" t="s">
        <v>1894</v>
      </c>
      <c r="M1105" s="20"/>
      <c r="N1105" s="49"/>
      <c r="O1105" s="18"/>
      <c r="P1105" s="18"/>
      <c r="Q1105" s="18"/>
      <c r="R1105" s="18"/>
      <c r="S1105" s="18" t="s">
        <v>1458</v>
      </c>
      <c r="T1105" s="643">
        <v>1</v>
      </c>
      <c r="U1105" s="643"/>
      <c r="V1105" s="643"/>
      <c r="W1105" s="643">
        <v>1</v>
      </c>
      <c r="X1105" s="643"/>
      <c r="Y1105" s="461">
        <v>100</v>
      </c>
      <c r="Z1105" s="19">
        <v>100</v>
      </c>
      <c r="AA1105" s="22">
        <v>292108000</v>
      </c>
      <c r="AB1105" s="19">
        <f t="shared" si="411"/>
        <v>97.767900474266753</v>
      </c>
      <c r="AC1105" s="20">
        <f t="shared" ref="AC1105:AC1160" si="414">AA1105</f>
        <v>292108000</v>
      </c>
      <c r="AD1105" s="19">
        <f t="shared" si="412"/>
        <v>97.767900474266753</v>
      </c>
    </row>
    <row r="1106" spans="1:30" ht="25.5">
      <c r="A1106" s="1">
        <v>80</v>
      </c>
      <c r="B1106" s="13">
        <f t="shared" si="413"/>
        <v>70</v>
      </c>
      <c r="C1106" s="81">
        <v>16.079000000000001</v>
      </c>
      <c r="D1106" s="21" t="s">
        <v>466</v>
      </c>
      <c r="E1106" s="204"/>
      <c r="F1106" s="204">
        <v>1</v>
      </c>
      <c r="G1106" s="535" t="s">
        <v>1845</v>
      </c>
      <c r="H1106" s="89"/>
      <c r="I1106" s="193"/>
      <c r="J1106" s="15">
        <v>302226000</v>
      </c>
      <c r="K1106" s="721">
        <v>302226000</v>
      </c>
      <c r="L1106" s="57" t="s">
        <v>1894</v>
      </c>
      <c r="M1106" s="20">
        <v>213001000</v>
      </c>
      <c r="N1106" s="49" t="s">
        <v>1891</v>
      </c>
      <c r="O1106" s="401" t="s">
        <v>1992</v>
      </c>
      <c r="P1106" s="401" t="s">
        <v>1997</v>
      </c>
      <c r="Q1106" s="18" t="s">
        <v>1994</v>
      </c>
      <c r="R1106" s="18"/>
      <c r="S1106" s="18" t="s">
        <v>1458</v>
      </c>
      <c r="T1106" s="643">
        <v>1</v>
      </c>
      <c r="U1106" s="643"/>
      <c r="V1106" s="643">
        <v>1</v>
      </c>
      <c r="W1106" s="643"/>
      <c r="X1106" s="643"/>
      <c r="Y1106" s="461">
        <v>100</v>
      </c>
      <c r="Z1106" s="19">
        <v>100</v>
      </c>
      <c r="AA1106" s="22">
        <v>228736000</v>
      </c>
      <c r="AB1106" s="19">
        <f t="shared" si="411"/>
        <v>75.683759835355005</v>
      </c>
      <c r="AC1106" s="20">
        <f t="shared" si="414"/>
        <v>228736000</v>
      </c>
      <c r="AD1106" s="19">
        <f t="shared" si="412"/>
        <v>75.683759835355005</v>
      </c>
    </row>
    <row r="1107" spans="1:30">
      <c r="A1107" s="1">
        <v>81</v>
      </c>
      <c r="B1107" s="13">
        <f t="shared" si="413"/>
        <v>71</v>
      </c>
      <c r="C1107" s="164" t="s">
        <v>467</v>
      </c>
      <c r="D1107" s="21" t="s">
        <v>468</v>
      </c>
      <c r="E1107" s="204"/>
      <c r="F1107" s="204">
        <v>1</v>
      </c>
      <c r="G1107" s="535" t="s">
        <v>1845</v>
      </c>
      <c r="H1107" s="89"/>
      <c r="I1107" s="193"/>
      <c r="J1107" s="15">
        <v>7829000</v>
      </c>
      <c r="K1107" s="721">
        <v>7829000</v>
      </c>
      <c r="L1107" s="57" t="s">
        <v>1894</v>
      </c>
      <c r="M1107" s="20"/>
      <c r="N1107" s="49"/>
      <c r="O1107" s="18"/>
      <c r="P1107" s="18"/>
      <c r="Q1107" s="18"/>
      <c r="R1107" s="18"/>
      <c r="S1107" s="18"/>
      <c r="T1107" s="643"/>
      <c r="U1107" s="643"/>
      <c r="V1107" s="643"/>
      <c r="W1107" s="643"/>
      <c r="X1107" s="643"/>
      <c r="Y1107" s="461">
        <v>100</v>
      </c>
      <c r="Z1107" s="19">
        <v>100</v>
      </c>
      <c r="AA1107" s="22">
        <v>2645000</v>
      </c>
      <c r="AB1107" s="19">
        <f t="shared" si="411"/>
        <v>33.784646825903693</v>
      </c>
      <c r="AC1107" s="20">
        <f t="shared" si="414"/>
        <v>2645000</v>
      </c>
      <c r="AD1107" s="19">
        <f t="shared" si="412"/>
        <v>33.784646825903693</v>
      </c>
    </row>
    <row r="1108" spans="1:30" ht="38.25">
      <c r="A1108" s="1">
        <v>82</v>
      </c>
      <c r="B1108" s="13">
        <f t="shared" si="413"/>
        <v>72</v>
      </c>
      <c r="C1108" s="74" t="s">
        <v>469</v>
      </c>
      <c r="D1108" s="21" t="s">
        <v>470</v>
      </c>
      <c r="E1108" s="204"/>
      <c r="F1108" s="204">
        <v>1</v>
      </c>
      <c r="G1108" s="535" t="s">
        <v>1845</v>
      </c>
      <c r="H1108" s="89"/>
      <c r="I1108" s="193"/>
      <c r="J1108" s="15">
        <v>1287550000</v>
      </c>
      <c r="K1108" s="721">
        <v>1124120000</v>
      </c>
      <c r="L1108" s="57" t="s">
        <v>1894</v>
      </c>
      <c r="M1108" s="625">
        <v>1100000000</v>
      </c>
      <c r="N1108" s="49" t="s">
        <v>1850</v>
      </c>
      <c r="O1108" s="401" t="s">
        <v>1990</v>
      </c>
      <c r="P1108" s="410" t="s">
        <v>1989</v>
      </c>
      <c r="Q1108" s="18" t="s">
        <v>1994</v>
      </c>
      <c r="R1108" s="18"/>
      <c r="S1108" s="18" t="s">
        <v>1458</v>
      </c>
      <c r="T1108" s="643">
        <v>1</v>
      </c>
      <c r="U1108" s="643"/>
      <c r="V1108" s="643">
        <v>1</v>
      </c>
      <c r="W1108" s="643"/>
      <c r="X1108" s="643"/>
      <c r="Y1108" s="461">
        <v>100</v>
      </c>
      <c r="Z1108" s="19">
        <v>100</v>
      </c>
      <c r="AA1108" s="22">
        <v>1124111000</v>
      </c>
      <c r="AB1108" s="19">
        <f t="shared" si="411"/>
        <v>99.999199373732338</v>
      </c>
      <c r="AC1108" s="20">
        <f t="shared" si="414"/>
        <v>1124111000</v>
      </c>
      <c r="AD1108" s="19">
        <f t="shared" si="412"/>
        <v>99.999199373732338</v>
      </c>
    </row>
    <row r="1109" spans="1:30" ht="51">
      <c r="A1109" s="1">
        <v>83</v>
      </c>
      <c r="B1109" s="13">
        <f t="shared" si="413"/>
        <v>73</v>
      </c>
      <c r="C1109" s="74" t="s">
        <v>471</v>
      </c>
      <c r="D1109" s="21" t="s">
        <v>472</v>
      </c>
      <c r="E1109" s="204"/>
      <c r="F1109" s="204">
        <v>1</v>
      </c>
      <c r="G1109" s="535" t="s">
        <v>1845</v>
      </c>
      <c r="H1109" s="89"/>
      <c r="I1109" s="193"/>
      <c r="J1109" s="15">
        <v>731024000</v>
      </c>
      <c r="K1109" s="721">
        <v>609377000</v>
      </c>
      <c r="L1109" s="57" t="s">
        <v>1894</v>
      </c>
      <c r="M1109" s="625">
        <v>576561000</v>
      </c>
      <c r="N1109" s="49" t="s">
        <v>1999</v>
      </c>
      <c r="O1109" s="50" t="s">
        <v>1990</v>
      </c>
      <c r="P1109" s="50" t="s">
        <v>1996</v>
      </c>
      <c r="Q1109" s="18" t="s">
        <v>1994</v>
      </c>
      <c r="R1109" s="18"/>
      <c r="S1109" s="18" t="s">
        <v>1458</v>
      </c>
      <c r="T1109" s="643">
        <v>1</v>
      </c>
      <c r="U1109" s="643"/>
      <c r="V1109" s="643">
        <v>1</v>
      </c>
      <c r="W1109" s="643"/>
      <c r="X1109" s="643"/>
      <c r="Y1109" s="461">
        <v>100</v>
      </c>
      <c r="Z1109" s="19">
        <v>100</v>
      </c>
      <c r="AA1109" s="22">
        <v>608624000</v>
      </c>
      <c r="AB1109" s="19">
        <f t="shared" si="411"/>
        <v>99.876431174789985</v>
      </c>
      <c r="AC1109" s="20">
        <f t="shared" si="414"/>
        <v>608624000</v>
      </c>
      <c r="AD1109" s="19">
        <f t="shared" si="412"/>
        <v>99.876431174789985</v>
      </c>
    </row>
    <row r="1110" spans="1:30">
      <c r="A1110" s="1">
        <v>84</v>
      </c>
      <c r="B1110" s="13">
        <f t="shared" si="413"/>
        <v>74</v>
      </c>
      <c r="C1110" s="74" t="s">
        <v>473</v>
      </c>
      <c r="D1110" s="21" t="s">
        <v>474</v>
      </c>
      <c r="E1110" s="204"/>
      <c r="F1110" s="204">
        <v>1</v>
      </c>
      <c r="G1110" s="535" t="s">
        <v>1845</v>
      </c>
      <c r="H1110" s="89"/>
      <c r="I1110" s="193"/>
      <c r="J1110" s="15">
        <v>115143000</v>
      </c>
      <c r="K1110" s="721">
        <v>115143000</v>
      </c>
      <c r="L1110" s="57" t="s">
        <v>1894</v>
      </c>
      <c r="M1110" s="20"/>
      <c r="N1110" s="49"/>
      <c r="O1110" s="18"/>
      <c r="P1110" s="18"/>
      <c r="Q1110" s="18"/>
      <c r="R1110" s="18"/>
      <c r="S1110" s="18"/>
      <c r="T1110" s="643"/>
      <c r="U1110" s="643"/>
      <c r="V1110" s="643"/>
      <c r="W1110" s="643"/>
      <c r="X1110" s="643"/>
      <c r="Y1110" s="461">
        <v>100</v>
      </c>
      <c r="Z1110" s="19">
        <v>100</v>
      </c>
      <c r="AA1110" s="22">
        <v>112897000</v>
      </c>
      <c r="AB1110" s="19">
        <f t="shared" si="411"/>
        <v>98.049382072726956</v>
      </c>
      <c r="AC1110" s="20">
        <f t="shared" si="414"/>
        <v>112897000</v>
      </c>
      <c r="AD1110" s="19">
        <f t="shared" si="412"/>
        <v>98.049382072726956</v>
      </c>
    </row>
    <row r="1111" spans="1:30" ht="60">
      <c r="A1111" s="1">
        <v>85</v>
      </c>
      <c r="B1111" s="13">
        <f t="shared" si="413"/>
        <v>75</v>
      </c>
      <c r="C1111" s="74" t="s">
        <v>475</v>
      </c>
      <c r="D1111" s="21" t="s">
        <v>476</v>
      </c>
      <c r="E1111" s="204"/>
      <c r="F1111" s="204">
        <v>1</v>
      </c>
      <c r="G1111" s="535" t="s">
        <v>1845</v>
      </c>
      <c r="H1111" s="89"/>
      <c r="I1111" s="193"/>
      <c r="J1111" s="15">
        <v>323542000</v>
      </c>
      <c r="K1111" s="721">
        <v>323542000</v>
      </c>
      <c r="L1111" s="57" t="s">
        <v>1894</v>
      </c>
      <c r="M1111" s="2">
        <v>250601000</v>
      </c>
      <c r="N1111" s="216" t="s">
        <v>1927</v>
      </c>
      <c r="O1111" s="18"/>
      <c r="P1111" s="18"/>
      <c r="Q1111" s="18"/>
      <c r="R1111" s="18"/>
      <c r="S1111" s="18" t="s">
        <v>1458</v>
      </c>
      <c r="T1111" s="643">
        <v>1</v>
      </c>
      <c r="U1111" s="643"/>
      <c r="V1111" s="643">
        <v>1</v>
      </c>
      <c r="W1111" s="643"/>
      <c r="X1111" s="643"/>
      <c r="Y1111" s="17">
        <v>100</v>
      </c>
      <c r="Z1111" s="19">
        <v>100</v>
      </c>
      <c r="AA1111" s="22">
        <v>266909000</v>
      </c>
      <c r="AB1111" s="19">
        <f t="shared" si="411"/>
        <v>82.495935612687063</v>
      </c>
      <c r="AC1111" s="20">
        <f t="shared" si="414"/>
        <v>266909000</v>
      </c>
      <c r="AD1111" s="19">
        <f t="shared" si="412"/>
        <v>82.495935612687063</v>
      </c>
    </row>
    <row r="1112" spans="1:30" ht="38.25">
      <c r="A1112" s="1">
        <v>86</v>
      </c>
      <c r="B1112" s="13">
        <f t="shared" si="413"/>
        <v>76</v>
      </c>
      <c r="C1112" s="74" t="s">
        <v>477</v>
      </c>
      <c r="D1112" s="21" t="s">
        <v>478</v>
      </c>
      <c r="E1112" s="204"/>
      <c r="F1112" s="204">
        <v>1</v>
      </c>
      <c r="G1112" s="535" t="s">
        <v>1845</v>
      </c>
      <c r="H1112" s="89"/>
      <c r="I1112" s="193"/>
      <c r="J1112" s="15">
        <v>252747000</v>
      </c>
      <c r="K1112" s="721">
        <v>252747000</v>
      </c>
      <c r="L1112" s="57" t="s">
        <v>1894</v>
      </c>
      <c r="M1112" s="20">
        <v>207697000</v>
      </c>
      <c r="N1112" s="49" t="s">
        <v>2054</v>
      </c>
      <c r="O1112" s="57"/>
      <c r="P1112" s="411"/>
      <c r="Q1112" s="18"/>
      <c r="R1112" s="18"/>
      <c r="S1112" s="18" t="s">
        <v>1458</v>
      </c>
      <c r="T1112" s="643">
        <v>1</v>
      </c>
      <c r="U1112" s="643"/>
      <c r="V1112" s="643">
        <v>1</v>
      </c>
      <c r="W1112" s="643"/>
      <c r="X1112" s="643"/>
      <c r="Y1112" s="20">
        <v>100</v>
      </c>
      <c r="Z1112" s="19">
        <v>100</v>
      </c>
      <c r="AA1112" s="22">
        <v>220623000</v>
      </c>
      <c r="AB1112" s="19">
        <f t="shared" si="411"/>
        <v>87.290056855274244</v>
      </c>
      <c r="AC1112" s="20">
        <f t="shared" si="414"/>
        <v>220623000</v>
      </c>
      <c r="AD1112" s="19">
        <f t="shared" si="412"/>
        <v>87.290056855274244</v>
      </c>
    </row>
    <row r="1113" spans="1:30">
      <c r="A1113" s="1">
        <v>87</v>
      </c>
      <c r="B1113" s="13">
        <f t="shared" si="413"/>
        <v>77</v>
      </c>
      <c r="C1113" s="74" t="s">
        <v>479</v>
      </c>
      <c r="D1113" s="21" t="s">
        <v>480</v>
      </c>
      <c r="E1113" s="204"/>
      <c r="F1113" s="204">
        <v>1</v>
      </c>
      <c r="G1113" s="535" t="s">
        <v>1845</v>
      </c>
      <c r="H1113" s="89"/>
      <c r="I1113" s="193"/>
      <c r="J1113" s="15">
        <v>924600000</v>
      </c>
      <c r="K1113" s="721">
        <v>4792368000</v>
      </c>
      <c r="L1113" s="57"/>
      <c r="M1113" s="20"/>
      <c r="N1113" s="49"/>
      <c r="O1113" s="18"/>
      <c r="P1113" s="18"/>
      <c r="Q1113" s="18"/>
      <c r="R1113" s="18"/>
      <c r="S1113" s="18"/>
      <c r="T1113" s="643"/>
      <c r="U1113" s="643"/>
      <c r="V1113" s="643"/>
      <c r="W1113" s="643"/>
      <c r="X1113" s="643"/>
      <c r="Y1113" s="20">
        <v>100</v>
      </c>
      <c r="Z1113" s="19">
        <v>100</v>
      </c>
      <c r="AA1113" s="22">
        <v>1036651975</v>
      </c>
      <c r="AB1113" s="19">
        <f t="shared" si="411"/>
        <v>21.631309928619839</v>
      </c>
      <c r="AC1113" s="20">
        <f t="shared" si="414"/>
        <v>1036651975</v>
      </c>
      <c r="AD1113" s="19">
        <f t="shared" si="412"/>
        <v>21.631309928619839</v>
      </c>
    </row>
    <row r="1114" spans="1:30" ht="89.25">
      <c r="A1114" s="1">
        <v>88</v>
      </c>
      <c r="B1114" s="13">
        <f t="shared" si="413"/>
        <v>78</v>
      </c>
      <c r="C1114" s="81">
        <v>16.088999999999999</v>
      </c>
      <c r="D1114" s="21" t="s">
        <v>481</v>
      </c>
      <c r="E1114" s="204"/>
      <c r="F1114" s="204">
        <v>1</v>
      </c>
      <c r="G1114" s="535" t="s">
        <v>1845</v>
      </c>
      <c r="H1114" s="89"/>
      <c r="I1114" s="193"/>
      <c r="J1114" s="15">
        <v>4200000000</v>
      </c>
      <c r="K1114" s="721">
        <v>4200000000</v>
      </c>
      <c r="L1114" s="107" t="s">
        <v>1988</v>
      </c>
      <c r="M1114" s="20">
        <v>3481036000</v>
      </c>
      <c r="N1114" s="49" t="s">
        <v>2000</v>
      </c>
      <c r="O1114" s="411"/>
      <c r="P1114" s="57"/>
      <c r="Q1114" s="18"/>
      <c r="R1114" s="18"/>
      <c r="S1114" s="18"/>
      <c r="T1114" s="643">
        <v>1</v>
      </c>
      <c r="U1114" s="643"/>
      <c r="V1114" s="643">
        <v>1</v>
      </c>
      <c r="W1114" s="643"/>
      <c r="X1114" s="643"/>
      <c r="Y1114" s="114">
        <v>100</v>
      </c>
      <c r="Z1114" s="19">
        <v>100</v>
      </c>
      <c r="AA1114" s="22">
        <v>3536306900</v>
      </c>
      <c r="AB1114" s="19">
        <f t="shared" si="411"/>
        <v>84.197783333333334</v>
      </c>
      <c r="AC1114" s="20">
        <f t="shared" si="414"/>
        <v>3536306900</v>
      </c>
      <c r="AD1114" s="19">
        <f t="shared" si="412"/>
        <v>84.197783333333334</v>
      </c>
    </row>
    <row r="1115" spans="1:30" ht="38.25">
      <c r="A1115" s="1">
        <v>89</v>
      </c>
      <c r="B1115" s="13">
        <f t="shared" si="413"/>
        <v>79</v>
      </c>
      <c r="C1115" s="81">
        <v>16.091000000000001</v>
      </c>
      <c r="D1115" s="21" t="s">
        <v>482</v>
      </c>
      <c r="E1115" s="204"/>
      <c r="F1115" s="204">
        <v>1</v>
      </c>
      <c r="G1115" s="535" t="s">
        <v>1845</v>
      </c>
      <c r="H1115" s="89"/>
      <c r="I1115" s="193"/>
      <c r="J1115" s="15">
        <v>445000000</v>
      </c>
      <c r="K1115" s="721">
        <v>445000000</v>
      </c>
      <c r="L1115" s="57" t="s">
        <v>1894</v>
      </c>
      <c r="M1115" s="20">
        <v>333999000</v>
      </c>
      <c r="N1115" s="49" t="s">
        <v>2001</v>
      </c>
      <c r="O1115" s="407" t="s">
        <v>1992</v>
      </c>
      <c r="P1115" s="411" t="s">
        <v>1997</v>
      </c>
      <c r="Q1115" s="18" t="s">
        <v>1994</v>
      </c>
      <c r="R1115" s="18"/>
      <c r="S1115" s="18" t="s">
        <v>1458</v>
      </c>
      <c r="T1115" s="643">
        <v>1</v>
      </c>
      <c r="U1115" s="643"/>
      <c r="V1115" s="643">
        <v>1</v>
      </c>
      <c r="W1115" s="643"/>
      <c r="X1115" s="643"/>
      <c r="Y1115" s="20">
        <v>100</v>
      </c>
      <c r="Z1115" s="19">
        <v>100</v>
      </c>
      <c r="AA1115" s="22">
        <v>354252000</v>
      </c>
      <c r="AB1115" s="19">
        <f t="shared" si="411"/>
        <v>79.607191011235955</v>
      </c>
      <c r="AC1115" s="20">
        <f t="shared" si="414"/>
        <v>354252000</v>
      </c>
      <c r="AD1115" s="19">
        <f t="shared" si="412"/>
        <v>79.607191011235955</v>
      </c>
    </row>
    <row r="1116" spans="1:30" ht="38.25">
      <c r="A1116" s="1">
        <v>90</v>
      </c>
      <c r="B1116" s="13">
        <f t="shared" si="413"/>
        <v>80</v>
      </c>
      <c r="C1116" s="81">
        <v>16.094000000000001</v>
      </c>
      <c r="D1116" s="21" t="s">
        <v>483</v>
      </c>
      <c r="E1116" s="204"/>
      <c r="F1116" s="204">
        <v>1</v>
      </c>
      <c r="G1116" s="535" t="s">
        <v>1845</v>
      </c>
      <c r="H1116" s="89"/>
      <c r="I1116" s="193"/>
      <c r="J1116" s="15">
        <v>566522000</v>
      </c>
      <c r="K1116" s="721">
        <v>441676000</v>
      </c>
      <c r="L1116" s="57" t="s">
        <v>1894</v>
      </c>
      <c r="M1116" s="165">
        <v>414266000</v>
      </c>
      <c r="N1116" s="49" t="s">
        <v>1892</v>
      </c>
      <c r="O1116" s="411" t="s">
        <v>1992</v>
      </c>
      <c r="P1116" s="411" t="s">
        <v>1997</v>
      </c>
      <c r="Q1116" s="18" t="s">
        <v>1994</v>
      </c>
      <c r="R1116" s="18"/>
      <c r="S1116" s="18" t="s">
        <v>1458</v>
      </c>
      <c r="T1116" s="643">
        <v>1</v>
      </c>
      <c r="U1116" s="643"/>
      <c r="V1116" s="643">
        <v>1</v>
      </c>
      <c r="W1116" s="643"/>
      <c r="X1116" s="643"/>
      <c r="Y1116" s="20">
        <v>100</v>
      </c>
      <c r="Z1116" s="19">
        <v>100</v>
      </c>
      <c r="AA1116" s="22">
        <v>440580000</v>
      </c>
      <c r="AB1116" s="19">
        <f t="shared" si="411"/>
        <v>99.751854300437429</v>
      </c>
      <c r="AC1116" s="20">
        <f t="shared" si="414"/>
        <v>440580000</v>
      </c>
      <c r="AD1116" s="19">
        <f t="shared" si="412"/>
        <v>99.751854300437429</v>
      </c>
    </row>
    <row r="1117" spans="1:30" ht="51">
      <c r="A1117" s="1">
        <v>91</v>
      </c>
      <c r="B1117" s="13">
        <f t="shared" si="413"/>
        <v>81</v>
      </c>
      <c r="C1117" s="81">
        <v>16.094999999999999</v>
      </c>
      <c r="D1117" s="21" t="s">
        <v>484</v>
      </c>
      <c r="E1117" s="204"/>
      <c r="F1117" s="204">
        <v>1</v>
      </c>
      <c r="G1117" s="535" t="s">
        <v>1845</v>
      </c>
      <c r="H1117" s="89"/>
      <c r="I1117" s="193"/>
      <c r="J1117" s="15">
        <v>444083000</v>
      </c>
      <c r="K1117" s="721">
        <v>444083000</v>
      </c>
      <c r="L1117" s="57" t="s">
        <v>1894</v>
      </c>
      <c r="M1117" s="20">
        <v>372000000</v>
      </c>
      <c r="N1117" s="49" t="s">
        <v>1874</v>
      </c>
      <c r="O1117" s="407" t="s">
        <v>1990</v>
      </c>
      <c r="P1117" s="407" t="s">
        <v>1989</v>
      </c>
      <c r="Q1117" s="18" t="s">
        <v>1994</v>
      </c>
      <c r="R1117" s="18"/>
      <c r="S1117" s="18" t="s">
        <v>1458</v>
      </c>
      <c r="T1117" s="643">
        <v>1</v>
      </c>
      <c r="U1117" s="643"/>
      <c r="V1117" s="643">
        <v>1</v>
      </c>
      <c r="W1117" s="643"/>
      <c r="X1117" s="643"/>
      <c r="Y1117" s="20">
        <v>100</v>
      </c>
      <c r="Z1117" s="19">
        <v>100</v>
      </c>
      <c r="AA1117" s="22">
        <v>392175000</v>
      </c>
      <c r="AB1117" s="19">
        <f t="shared" si="411"/>
        <v>88.311194078584407</v>
      </c>
      <c r="AC1117" s="20">
        <f t="shared" si="414"/>
        <v>392175000</v>
      </c>
      <c r="AD1117" s="19">
        <f t="shared" si="412"/>
        <v>88.311194078584407</v>
      </c>
    </row>
    <row r="1118" spans="1:30" ht="51">
      <c r="A1118" s="1">
        <v>92</v>
      </c>
      <c r="B1118" s="13">
        <f t="shared" si="413"/>
        <v>82</v>
      </c>
      <c r="C1118" s="81">
        <v>16.096</v>
      </c>
      <c r="D1118" s="21" t="s">
        <v>485</v>
      </c>
      <c r="E1118" s="204"/>
      <c r="F1118" s="204">
        <v>1</v>
      </c>
      <c r="G1118" s="535" t="s">
        <v>1845</v>
      </c>
      <c r="H1118" s="89"/>
      <c r="I1118" s="193"/>
      <c r="J1118" s="15">
        <v>199951000</v>
      </c>
      <c r="K1118" s="721">
        <v>199951000</v>
      </c>
      <c r="L1118" s="107" t="s">
        <v>2002</v>
      </c>
      <c r="M1118" s="20"/>
      <c r="N1118" s="49"/>
      <c r="O1118" s="407"/>
      <c r="P1118" s="407"/>
      <c r="Q1118" s="18"/>
      <c r="R1118" s="18"/>
      <c r="S1118" s="18"/>
      <c r="T1118" s="643"/>
      <c r="U1118" s="643"/>
      <c r="V1118" s="643"/>
      <c r="W1118" s="643"/>
      <c r="X1118" s="643"/>
      <c r="Y1118" s="20">
        <v>100</v>
      </c>
      <c r="Z1118" s="19">
        <v>100</v>
      </c>
      <c r="AA1118" s="22">
        <v>198541000</v>
      </c>
      <c r="AB1118" s="19">
        <f t="shared" si="411"/>
        <v>99.294827232672006</v>
      </c>
      <c r="AC1118" s="20">
        <f t="shared" si="414"/>
        <v>198541000</v>
      </c>
      <c r="AD1118" s="19">
        <f t="shared" si="412"/>
        <v>99.294827232672006</v>
      </c>
    </row>
    <row r="1119" spans="1:30" ht="38.25">
      <c r="A1119" s="1">
        <v>93</v>
      </c>
      <c r="B1119" s="13">
        <f t="shared" si="413"/>
        <v>83</v>
      </c>
      <c r="C1119" s="74" t="s">
        <v>486</v>
      </c>
      <c r="D1119" s="21" t="s">
        <v>487</v>
      </c>
      <c r="E1119" s="204"/>
      <c r="F1119" s="204">
        <v>1</v>
      </c>
      <c r="G1119" s="535" t="s">
        <v>1845</v>
      </c>
      <c r="H1119" s="89"/>
      <c r="I1119" s="193"/>
      <c r="J1119" s="15">
        <v>881110000</v>
      </c>
      <c r="K1119" s="721">
        <v>682121000</v>
      </c>
      <c r="L1119" s="57" t="s">
        <v>1894</v>
      </c>
      <c r="M1119" s="20">
        <v>647651000</v>
      </c>
      <c r="N1119" s="49" t="s">
        <v>2054</v>
      </c>
      <c r="O1119" s="57"/>
      <c r="P1119" s="57"/>
      <c r="Q1119" s="18"/>
      <c r="R1119" s="18"/>
      <c r="S1119" s="18" t="s">
        <v>1458</v>
      </c>
      <c r="T1119" s="643">
        <v>1</v>
      </c>
      <c r="U1119" s="643"/>
      <c r="V1119" s="643">
        <v>1</v>
      </c>
      <c r="W1119" s="643"/>
      <c r="X1119" s="643"/>
      <c r="Y1119" s="19">
        <v>100</v>
      </c>
      <c r="Z1119" s="19">
        <v>100</v>
      </c>
      <c r="AA1119" s="22">
        <v>651703450</v>
      </c>
      <c r="AB1119" s="19">
        <f t="shared" si="411"/>
        <v>95.540739839412652</v>
      </c>
      <c r="AC1119" s="20">
        <f t="shared" si="414"/>
        <v>651703450</v>
      </c>
      <c r="AD1119" s="19">
        <f t="shared" si="412"/>
        <v>95.540739839412652</v>
      </c>
    </row>
    <row r="1120" spans="1:30" ht="38.25">
      <c r="A1120" s="1">
        <v>94</v>
      </c>
      <c r="B1120" s="13">
        <f t="shared" si="413"/>
        <v>84</v>
      </c>
      <c r="C1120" s="74" t="s">
        <v>488</v>
      </c>
      <c r="D1120" s="21" t="s">
        <v>489</v>
      </c>
      <c r="E1120" s="204"/>
      <c r="F1120" s="204">
        <v>1</v>
      </c>
      <c r="G1120" s="535" t="s">
        <v>1845</v>
      </c>
      <c r="H1120" s="89"/>
      <c r="I1120" s="193"/>
      <c r="J1120" s="15">
        <v>593800000</v>
      </c>
      <c r="K1120" s="721">
        <v>593800000</v>
      </c>
      <c r="L1120" s="57" t="s">
        <v>1894</v>
      </c>
      <c r="M1120" s="20">
        <v>480000000</v>
      </c>
      <c r="N1120" s="49" t="s">
        <v>1864</v>
      </c>
      <c r="O1120" s="411" t="s">
        <v>1990</v>
      </c>
      <c r="P1120" s="411" t="s">
        <v>1989</v>
      </c>
      <c r="Q1120" s="18" t="s">
        <v>1994</v>
      </c>
      <c r="R1120" s="18"/>
      <c r="S1120" s="18" t="s">
        <v>1458</v>
      </c>
      <c r="T1120" s="643">
        <v>1</v>
      </c>
      <c r="U1120" s="643"/>
      <c r="V1120" s="643">
        <v>1</v>
      </c>
      <c r="W1120" s="643"/>
      <c r="X1120" s="643"/>
      <c r="Y1120" s="17">
        <v>100</v>
      </c>
      <c r="Z1120" s="19">
        <v>100</v>
      </c>
      <c r="AA1120" s="22">
        <v>505204000</v>
      </c>
      <c r="AB1120" s="19">
        <f t="shared" si="411"/>
        <v>85.07982485685416</v>
      </c>
      <c r="AC1120" s="20">
        <f t="shared" si="414"/>
        <v>505204000</v>
      </c>
      <c r="AD1120" s="19">
        <f t="shared" si="412"/>
        <v>85.07982485685416</v>
      </c>
    </row>
    <row r="1121" spans="1:30" ht="38.25">
      <c r="A1121" s="1">
        <v>95</v>
      </c>
      <c r="B1121" s="13">
        <f t="shared" si="413"/>
        <v>85</v>
      </c>
      <c r="C1121" s="74" t="s">
        <v>490</v>
      </c>
      <c r="D1121" s="21" t="s">
        <v>491</v>
      </c>
      <c r="E1121" s="204"/>
      <c r="F1121" s="204">
        <v>1</v>
      </c>
      <c r="G1121" s="535" t="s">
        <v>1845</v>
      </c>
      <c r="H1121" s="89"/>
      <c r="I1121" s="193"/>
      <c r="J1121" s="15">
        <v>726562000</v>
      </c>
      <c r="K1121" s="721">
        <v>726562000</v>
      </c>
      <c r="L1121" s="57" t="s">
        <v>1894</v>
      </c>
      <c r="M1121" s="20">
        <v>653464000</v>
      </c>
      <c r="N1121" s="49" t="s">
        <v>1867</v>
      </c>
      <c r="O1121" s="411" t="s">
        <v>1990</v>
      </c>
      <c r="P1121" s="411" t="s">
        <v>1989</v>
      </c>
      <c r="Q1121" s="18" t="s">
        <v>1994</v>
      </c>
      <c r="R1121" s="18"/>
      <c r="S1121" s="18" t="s">
        <v>1458</v>
      </c>
      <c r="T1121" s="643">
        <v>1</v>
      </c>
      <c r="U1121" s="643"/>
      <c r="V1121" s="643">
        <v>1</v>
      </c>
      <c r="W1121" s="643"/>
      <c r="X1121" s="643"/>
      <c r="Y1121" s="17">
        <v>100</v>
      </c>
      <c r="Z1121" s="19">
        <v>100</v>
      </c>
      <c r="AA1121" s="22">
        <v>684216000</v>
      </c>
      <c r="AB1121" s="19">
        <f t="shared" si="411"/>
        <v>94.171729322480388</v>
      </c>
      <c r="AC1121" s="20">
        <f t="shared" si="414"/>
        <v>684216000</v>
      </c>
      <c r="AD1121" s="19">
        <f t="shared" si="412"/>
        <v>94.171729322480388</v>
      </c>
    </row>
    <row r="1122" spans="1:30" ht="25.5">
      <c r="A1122" s="1">
        <v>96</v>
      </c>
      <c r="B1122" s="13">
        <f t="shared" si="413"/>
        <v>86</v>
      </c>
      <c r="C1122" s="81">
        <v>16.103999999999999</v>
      </c>
      <c r="D1122" s="21" t="s">
        <v>492</v>
      </c>
      <c r="E1122" s="204"/>
      <c r="F1122" s="204">
        <v>1</v>
      </c>
      <c r="G1122" s="535" t="s">
        <v>1845</v>
      </c>
      <c r="H1122" s="89"/>
      <c r="I1122" s="193"/>
      <c r="J1122" s="15">
        <v>399437000</v>
      </c>
      <c r="K1122" s="721">
        <v>399437000</v>
      </c>
      <c r="L1122" s="57"/>
      <c r="M1122" s="20">
        <v>324512000</v>
      </c>
      <c r="N1122" s="49" t="s">
        <v>1875</v>
      </c>
      <c r="O1122" s="411" t="s">
        <v>1990</v>
      </c>
      <c r="P1122" s="411" t="s">
        <v>1989</v>
      </c>
      <c r="Q1122" s="18" t="s">
        <v>1994</v>
      </c>
      <c r="R1122" s="18"/>
      <c r="S1122" s="18" t="s">
        <v>1458</v>
      </c>
      <c r="T1122" s="643">
        <v>1</v>
      </c>
      <c r="U1122" s="643"/>
      <c r="V1122" s="643">
        <v>1</v>
      </c>
      <c r="W1122" s="643"/>
      <c r="X1122" s="643"/>
      <c r="Y1122" s="17">
        <v>100</v>
      </c>
      <c r="Z1122" s="19">
        <v>100</v>
      </c>
      <c r="AA1122" s="22">
        <v>343788000</v>
      </c>
      <c r="AB1122" s="19">
        <f t="shared" si="411"/>
        <v>86.068140908328473</v>
      </c>
      <c r="AC1122" s="20">
        <f t="shared" si="414"/>
        <v>343788000</v>
      </c>
      <c r="AD1122" s="19">
        <f t="shared" si="412"/>
        <v>86.068140908328473</v>
      </c>
    </row>
    <row r="1123" spans="1:30" ht="63.75">
      <c r="A1123" s="1">
        <v>97</v>
      </c>
      <c r="B1123" s="13">
        <f t="shared" si="413"/>
        <v>87</v>
      </c>
      <c r="C1123" s="81">
        <v>16.105</v>
      </c>
      <c r="D1123" s="21" t="s">
        <v>493</v>
      </c>
      <c r="E1123" s="204"/>
      <c r="F1123" s="204">
        <v>1</v>
      </c>
      <c r="G1123" s="535" t="s">
        <v>1845</v>
      </c>
      <c r="H1123" s="89"/>
      <c r="I1123" s="193"/>
      <c r="J1123" s="15">
        <v>408672000</v>
      </c>
      <c r="K1123" s="721">
        <v>408672000</v>
      </c>
      <c r="L1123" s="57"/>
      <c r="M1123" s="20">
        <v>305250000</v>
      </c>
      <c r="N1123" s="49" t="s">
        <v>1893</v>
      </c>
      <c r="O1123" s="407" t="s">
        <v>1992</v>
      </c>
      <c r="P1123" s="407" t="s">
        <v>1997</v>
      </c>
      <c r="Q1123" s="18" t="s">
        <v>1994</v>
      </c>
      <c r="R1123" s="18"/>
      <c r="S1123" s="18" t="s">
        <v>1458</v>
      </c>
      <c r="T1123" s="643">
        <v>1</v>
      </c>
      <c r="U1123" s="643"/>
      <c r="V1123" s="643">
        <v>1</v>
      </c>
      <c r="W1123" s="643"/>
      <c r="X1123" s="643"/>
      <c r="Y1123" s="17">
        <v>100</v>
      </c>
      <c r="Z1123" s="19">
        <v>100</v>
      </c>
      <c r="AA1123" s="22">
        <v>323721000</v>
      </c>
      <c r="AB1123" s="19">
        <f t="shared" si="411"/>
        <v>79.212914023960536</v>
      </c>
      <c r="AC1123" s="20">
        <f t="shared" si="414"/>
        <v>323721000</v>
      </c>
      <c r="AD1123" s="19">
        <f t="shared" si="412"/>
        <v>79.212914023960536</v>
      </c>
    </row>
    <row r="1124" spans="1:30" ht="38.25">
      <c r="A1124" s="1">
        <v>98</v>
      </c>
      <c r="B1124" s="13">
        <f t="shared" si="413"/>
        <v>88</v>
      </c>
      <c r="C1124" s="81">
        <v>16.106000000000002</v>
      </c>
      <c r="D1124" s="21" t="s">
        <v>494</v>
      </c>
      <c r="E1124" s="204"/>
      <c r="F1124" s="204">
        <v>1</v>
      </c>
      <c r="G1124" s="535" t="s">
        <v>1845</v>
      </c>
      <c r="H1124" s="89"/>
      <c r="I1124" s="193"/>
      <c r="J1124" s="15">
        <v>419298000</v>
      </c>
      <c r="K1124" s="721">
        <v>419298000</v>
      </c>
      <c r="L1124" s="57"/>
      <c r="M1124" s="20">
        <v>324426000</v>
      </c>
      <c r="N1124" s="49" t="s">
        <v>2056</v>
      </c>
      <c r="O1124" s="57"/>
      <c r="P1124" s="57"/>
      <c r="Q1124" s="18"/>
      <c r="R1124" s="18"/>
      <c r="S1124" s="18" t="s">
        <v>1458</v>
      </c>
      <c r="T1124" s="643">
        <v>1</v>
      </c>
      <c r="U1124" s="643"/>
      <c r="V1124" s="643">
        <v>1</v>
      </c>
      <c r="W1124" s="643"/>
      <c r="X1124" s="643"/>
      <c r="Y1124" s="17">
        <v>100</v>
      </c>
      <c r="Z1124" s="19">
        <v>100</v>
      </c>
      <c r="AA1124" s="22">
        <v>343706000</v>
      </c>
      <c r="AB1124" s="19">
        <f t="shared" si="411"/>
        <v>81.971771866309879</v>
      </c>
      <c r="AC1124" s="20">
        <f t="shared" si="414"/>
        <v>343706000</v>
      </c>
      <c r="AD1124" s="19">
        <f t="shared" si="412"/>
        <v>81.971771866309879</v>
      </c>
    </row>
    <row r="1125" spans="1:30" ht="36">
      <c r="A1125" s="1">
        <v>99</v>
      </c>
      <c r="B1125" s="13">
        <f t="shared" si="413"/>
        <v>89</v>
      </c>
      <c r="C1125" s="81">
        <v>16.108000000000001</v>
      </c>
      <c r="D1125" s="21" t="s">
        <v>495</v>
      </c>
      <c r="E1125" s="204"/>
      <c r="F1125" s="204">
        <v>1</v>
      </c>
      <c r="G1125" s="535" t="s">
        <v>1845</v>
      </c>
      <c r="H1125" s="89"/>
      <c r="I1125" s="193"/>
      <c r="J1125" s="15">
        <v>323725000</v>
      </c>
      <c r="K1125" s="721">
        <v>323725000</v>
      </c>
      <c r="L1125" s="57" t="s">
        <v>1894</v>
      </c>
      <c r="M1125" s="20">
        <v>253371000</v>
      </c>
      <c r="N1125" s="408" t="s">
        <v>1862</v>
      </c>
      <c r="O1125" s="411" t="s">
        <v>1990</v>
      </c>
      <c r="P1125" s="411" t="s">
        <v>1989</v>
      </c>
      <c r="Q1125" s="18" t="s">
        <v>1994</v>
      </c>
      <c r="R1125" s="18"/>
      <c r="S1125" s="18" t="s">
        <v>1458</v>
      </c>
      <c r="T1125" s="643">
        <v>1</v>
      </c>
      <c r="U1125" s="643"/>
      <c r="V1125" s="643">
        <v>1</v>
      </c>
      <c r="W1125" s="643"/>
      <c r="X1125" s="643"/>
      <c r="Y1125" s="20">
        <v>100</v>
      </c>
      <c r="Z1125" s="19">
        <v>100</v>
      </c>
      <c r="AA1125" s="22">
        <v>268082000</v>
      </c>
      <c r="AB1125" s="19">
        <f t="shared" si="411"/>
        <v>82.81164568692563</v>
      </c>
      <c r="AC1125" s="20">
        <f t="shared" si="414"/>
        <v>268082000</v>
      </c>
      <c r="AD1125" s="19">
        <f t="shared" si="412"/>
        <v>82.81164568692563</v>
      </c>
    </row>
    <row r="1126" spans="1:30" ht="36">
      <c r="A1126" s="1">
        <v>100</v>
      </c>
      <c r="B1126" s="13">
        <f t="shared" si="413"/>
        <v>90</v>
      </c>
      <c r="C1126" s="81">
        <v>16.113</v>
      </c>
      <c r="D1126" s="21" t="s">
        <v>496</v>
      </c>
      <c r="E1126" s="204"/>
      <c r="F1126" s="204">
        <v>1</v>
      </c>
      <c r="G1126" s="535" t="s">
        <v>1845</v>
      </c>
      <c r="H1126" s="89"/>
      <c r="I1126" s="193"/>
      <c r="J1126" s="15">
        <v>484500000</v>
      </c>
      <c r="K1126" s="721">
        <v>484500000</v>
      </c>
      <c r="L1126" s="57" t="s">
        <v>1894</v>
      </c>
      <c r="M1126" s="20">
        <v>393200000</v>
      </c>
      <c r="N1126" s="408" t="s">
        <v>1868</v>
      </c>
      <c r="O1126" s="407" t="s">
        <v>1990</v>
      </c>
      <c r="P1126" s="411" t="s">
        <v>1989</v>
      </c>
      <c r="Q1126" s="18" t="s">
        <v>1994</v>
      </c>
      <c r="R1126" s="18"/>
      <c r="S1126" s="18" t="s">
        <v>1458</v>
      </c>
      <c r="T1126" s="643">
        <v>1</v>
      </c>
      <c r="U1126" s="643"/>
      <c r="V1126" s="643">
        <v>1</v>
      </c>
      <c r="W1126" s="643"/>
      <c r="X1126" s="643"/>
      <c r="Y1126" s="17">
        <v>100</v>
      </c>
      <c r="Z1126" s="19">
        <v>100</v>
      </c>
      <c r="AA1126" s="22">
        <v>413862000</v>
      </c>
      <c r="AB1126" s="19">
        <f t="shared" si="411"/>
        <v>85.420433436532505</v>
      </c>
      <c r="AC1126" s="20">
        <f t="shared" si="414"/>
        <v>413862000</v>
      </c>
      <c r="AD1126" s="19">
        <f t="shared" si="412"/>
        <v>85.420433436532505</v>
      </c>
    </row>
    <row r="1127" spans="1:30" ht="38.25">
      <c r="A1127" s="1">
        <v>101</v>
      </c>
      <c r="B1127" s="13">
        <f t="shared" si="413"/>
        <v>91</v>
      </c>
      <c r="C1127" s="81">
        <v>16.114000000000001</v>
      </c>
      <c r="D1127" s="21" t="s">
        <v>497</v>
      </c>
      <c r="E1127" s="204"/>
      <c r="F1127" s="204">
        <v>1</v>
      </c>
      <c r="G1127" s="535" t="s">
        <v>1845</v>
      </c>
      <c r="H1127" s="89"/>
      <c r="I1127" s="193"/>
      <c r="J1127" s="15">
        <v>270952000</v>
      </c>
      <c r="K1127" s="721">
        <v>270952000</v>
      </c>
      <c r="L1127" s="57" t="s">
        <v>1894</v>
      </c>
      <c r="M1127" s="20">
        <v>234000000</v>
      </c>
      <c r="N1127" s="49" t="s">
        <v>1878</v>
      </c>
      <c r="O1127" s="411" t="s">
        <v>1990</v>
      </c>
      <c r="P1127" s="411" t="s">
        <v>2003</v>
      </c>
      <c r="Q1127" s="18" t="s">
        <v>1994</v>
      </c>
      <c r="R1127" s="18"/>
      <c r="S1127" s="18" t="s">
        <v>1458</v>
      </c>
      <c r="T1127" s="643">
        <v>1</v>
      </c>
      <c r="U1127" s="643"/>
      <c r="V1127" s="643">
        <v>1</v>
      </c>
      <c r="W1127" s="643"/>
      <c r="X1127" s="643"/>
      <c r="Y1127" s="17">
        <v>100</v>
      </c>
      <c r="Z1127" s="19">
        <v>100</v>
      </c>
      <c r="AA1127" s="22">
        <v>245475000</v>
      </c>
      <c r="AB1127" s="19">
        <f t="shared" si="411"/>
        <v>90.597227553219767</v>
      </c>
      <c r="AC1127" s="20">
        <f t="shared" si="414"/>
        <v>245475000</v>
      </c>
      <c r="AD1127" s="19">
        <f t="shared" si="412"/>
        <v>90.597227553219767</v>
      </c>
    </row>
    <row r="1128" spans="1:30" ht="40.5">
      <c r="A1128" s="1">
        <v>102</v>
      </c>
      <c r="B1128" s="13"/>
      <c r="C1128" s="86" t="s">
        <v>498</v>
      </c>
      <c r="D1128" s="86" t="s">
        <v>499</v>
      </c>
      <c r="E1128" s="485"/>
      <c r="F1128" s="204"/>
      <c r="G1128" s="535"/>
      <c r="H1128" s="87"/>
      <c r="I1128" s="441"/>
      <c r="J1128" s="130"/>
      <c r="K1128" s="130"/>
      <c r="L1128" s="57"/>
      <c r="M1128" s="20"/>
      <c r="N1128" s="18"/>
      <c r="O1128" s="401"/>
      <c r="P1128" s="401"/>
      <c r="Q1128" s="18"/>
      <c r="R1128" s="18"/>
      <c r="S1128" s="18"/>
      <c r="T1128" s="643"/>
      <c r="U1128" s="643"/>
      <c r="V1128" s="643"/>
      <c r="W1128" s="643"/>
      <c r="X1128" s="643"/>
      <c r="Y1128" s="17"/>
      <c r="Z1128" s="19"/>
      <c r="AA1128" s="22"/>
      <c r="AB1128" s="19"/>
      <c r="AC1128" s="20">
        <f t="shared" si="414"/>
        <v>0</v>
      </c>
      <c r="AD1128" s="19"/>
    </row>
    <row r="1129" spans="1:30">
      <c r="A1129" s="1">
        <v>103</v>
      </c>
      <c r="B1129" s="13">
        <f>B1127+1</f>
        <v>92</v>
      </c>
      <c r="C1129" s="74" t="s">
        <v>238</v>
      </c>
      <c r="D1129" s="74" t="s">
        <v>500</v>
      </c>
      <c r="E1129" s="204"/>
      <c r="F1129" s="204">
        <v>1</v>
      </c>
      <c r="G1129" s="535" t="s">
        <v>1845</v>
      </c>
      <c r="H1129" s="89"/>
      <c r="I1129" s="193"/>
      <c r="J1129" s="15">
        <v>800000000</v>
      </c>
      <c r="K1129" s="25">
        <v>800000000</v>
      </c>
      <c r="L1129" s="57"/>
      <c r="M1129" s="20"/>
      <c r="N1129" s="18"/>
      <c r="O1129" s="401"/>
      <c r="P1129" s="401"/>
      <c r="Q1129" s="18"/>
      <c r="R1129" s="18"/>
      <c r="S1129" s="18"/>
      <c r="T1129" s="643"/>
      <c r="U1129" s="643"/>
      <c r="V1129" s="643"/>
      <c r="W1129" s="643"/>
      <c r="X1129" s="643"/>
      <c r="Y1129" s="17">
        <v>100</v>
      </c>
      <c r="Z1129" s="19">
        <v>100</v>
      </c>
      <c r="AA1129" s="22">
        <v>789493400</v>
      </c>
      <c r="AB1129" s="19">
        <f t="shared" si="411"/>
        <v>98.686675000000008</v>
      </c>
      <c r="AC1129" s="20">
        <f t="shared" si="414"/>
        <v>789493400</v>
      </c>
      <c r="AD1129" s="19">
        <f t="shared" si="412"/>
        <v>98.686675000000008</v>
      </c>
    </row>
    <row r="1130" spans="1:30">
      <c r="A1130" s="1">
        <v>104</v>
      </c>
      <c r="B1130" s="13">
        <f t="shared" ref="B1130:B1181" si="415">B1129+1</f>
        <v>93</v>
      </c>
      <c r="C1130" s="74" t="s">
        <v>240</v>
      </c>
      <c r="D1130" s="74" t="s">
        <v>501</v>
      </c>
      <c r="E1130" s="204"/>
      <c r="F1130" s="204">
        <v>1</v>
      </c>
      <c r="G1130" s="535" t="s">
        <v>1845</v>
      </c>
      <c r="H1130" s="89"/>
      <c r="I1130" s="193"/>
      <c r="J1130" s="15">
        <v>1374918000</v>
      </c>
      <c r="K1130" s="25">
        <v>1374918000</v>
      </c>
      <c r="L1130" s="57"/>
      <c r="M1130" s="20"/>
      <c r="N1130" s="18"/>
      <c r="O1130" s="401"/>
      <c r="P1130" s="401"/>
      <c r="Q1130" s="18"/>
      <c r="R1130" s="18"/>
      <c r="S1130" s="18"/>
      <c r="T1130" s="643"/>
      <c r="U1130" s="643"/>
      <c r="V1130" s="643"/>
      <c r="W1130" s="643"/>
      <c r="X1130" s="643"/>
      <c r="Y1130" s="19">
        <v>100</v>
      </c>
      <c r="Z1130" s="19">
        <v>100</v>
      </c>
      <c r="AA1130" s="22">
        <v>1205958300</v>
      </c>
      <c r="AB1130" s="19">
        <f t="shared" si="411"/>
        <v>87.711288964141858</v>
      </c>
      <c r="AC1130" s="20">
        <f t="shared" si="414"/>
        <v>1205958300</v>
      </c>
      <c r="AD1130" s="19">
        <f t="shared" si="412"/>
        <v>87.711288964141858</v>
      </c>
    </row>
    <row r="1131" spans="1:30">
      <c r="A1131" s="1">
        <v>105</v>
      </c>
      <c r="B1131" s="13">
        <f t="shared" si="415"/>
        <v>94</v>
      </c>
      <c r="C1131" s="74" t="s">
        <v>353</v>
      </c>
      <c r="D1131" s="74" t="s">
        <v>502</v>
      </c>
      <c r="E1131" s="204"/>
      <c r="F1131" s="204">
        <v>1</v>
      </c>
      <c r="G1131" s="535" t="s">
        <v>1845</v>
      </c>
      <c r="H1131" s="89"/>
      <c r="I1131" s="193"/>
      <c r="J1131" s="15">
        <v>450000000</v>
      </c>
      <c r="K1131" s="25">
        <v>450000000</v>
      </c>
      <c r="L1131" s="57"/>
      <c r="M1131" s="20"/>
      <c r="N1131" s="49"/>
      <c r="O1131" s="407"/>
      <c r="P1131" s="407"/>
      <c r="Q1131" s="18"/>
      <c r="R1131" s="18"/>
      <c r="S1131" s="18"/>
      <c r="T1131" s="643"/>
      <c r="U1131" s="643"/>
      <c r="V1131" s="643"/>
      <c r="W1131" s="643"/>
      <c r="X1131" s="643"/>
      <c r="Y1131" s="19">
        <v>100</v>
      </c>
      <c r="Z1131" s="19">
        <v>100</v>
      </c>
      <c r="AA1131" s="22">
        <v>438816800</v>
      </c>
      <c r="AB1131" s="19">
        <f t="shared" si="411"/>
        <v>97.514844444444449</v>
      </c>
      <c r="AC1131" s="20">
        <f t="shared" si="414"/>
        <v>438816800</v>
      </c>
      <c r="AD1131" s="19">
        <f t="shared" si="412"/>
        <v>97.514844444444449</v>
      </c>
    </row>
    <row r="1132" spans="1:30" ht="38.25">
      <c r="A1132" s="1">
        <v>106</v>
      </c>
      <c r="B1132" s="13">
        <f t="shared" si="415"/>
        <v>95</v>
      </c>
      <c r="C1132" s="81">
        <v>17.021000000000001</v>
      </c>
      <c r="D1132" s="21" t="s">
        <v>503</v>
      </c>
      <c r="E1132" s="204"/>
      <c r="F1132" s="204">
        <v>1</v>
      </c>
      <c r="G1132" s="535" t="s">
        <v>1845</v>
      </c>
      <c r="H1132" s="89"/>
      <c r="I1132" s="193"/>
      <c r="J1132" s="15">
        <v>150000000</v>
      </c>
      <c r="K1132" s="25">
        <v>150000000</v>
      </c>
      <c r="L1132" s="57" t="s">
        <v>2004</v>
      </c>
      <c r="M1132" s="20">
        <v>261753000</v>
      </c>
      <c r="N1132" s="49" t="s">
        <v>1860</v>
      </c>
      <c r="O1132" s="407" t="s">
        <v>2005</v>
      </c>
      <c r="P1132" s="407" t="s">
        <v>2006</v>
      </c>
      <c r="Q1132" s="18"/>
      <c r="R1132" s="18"/>
      <c r="S1132" s="18"/>
      <c r="T1132" s="643"/>
      <c r="U1132" s="643"/>
      <c r="V1132" s="643"/>
      <c r="W1132" s="643"/>
      <c r="X1132" s="643"/>
      <c r="Y1132" s="17">
        <v>100</v>
      </c>
      <c r="Z1132" s="19">
        <v>100</v>
      </c>
      <c r="AA1132" s="22">
        <v>149750000</v>
      </c>
      <c r="AB1132" s="19">
        <f t="shared" si="411"/>
        <v>99.833333333333329</v>
      </c>
      <c r="AC1132" s="20">
        <f t="shared" si="414"/>
        <v>149750000</v>
      </c>
      <c r="AD1132" s="19">
        <f t="shared" si="412"/>
        <v>99.833333333333329</v>
      </c>
    </row>
    <row r="1133" spans="1:30" ht="63.75">
      <c r="A1133" s="1">
        <v>107</v>
      </c>
      <c r="B1133" s="13">
        <f t="shared" si="415"/>
        <v>96</v>
      </c>
      <c r="C1133" s="81">
        <v>17.023</v>
      </c>
      <c r="D1133" s="21" t="s">
        <v>504</v>
      </c>
      <c r="E1133" s="204"/>
      <c r="F1133" s="204">
        <v>1</v>
      </c>
      <c r="G1133" s="535" t="s">
        <v>1845</v>
      </c>
      <c r="H1133" s="89"/>
      <c r="I1133" s="193"/>
      <c r="J1133" s="15">
        <v>402500000</v>
      </c>
      <c r="K1133" s="25">
        <v>402500000</v>
      </c>
      <c r="L1133" s="57" t="s">
        <v>1896</v>
      </c>
      <c r="M1133" s="20">
        <v>261753000</v>
      </c>
      <c r="N1133" s="49" t="s">
        <v>1880</v>
      </c>
      <c r="O1133" s="407" t="s">
        <v>1992</v>
      </c>
      <c r="P1133" s="407" t="s">
        <v>2007</v>
      </c>
      <c r="Q1133" s="18"/>
      <c r="R1133" s="18"/>
      <c r="S1133" s="18" t="s">
        <v>1458</v>
      </c>
      <c r="T1133" s="643">
        <v>1</v>
      </c>
      <c r="U1133" s="643"/>
      <c r="V1133" s="643">
        <v>1</v>
      </c>
      <c r="W1133" s="643"/>
      <c r="X1133" s="643"/>
      <c r="Y1133" s="17">
        <v>100</v>
      </c>
      <c r="Z1133" s="19">
        <v>100</v>
      </c>
      <c r="AA1133" s="22">
        <v>275685750</v>
      </c>
      <c r="AB1133" s="19">
        <f t="shared" si="411"/>
        <v>68.493354037267082</v>
      </c>
      <c r="AC1133" s="20">
        <f t="shared" si="414"/>
        <v>275685750</v>
      </c>
      <c r="AD1133" s="19">
        <f t="shared" si="412"/>
        <v>68.493354037267082</v>
      </c>
    </row>
    <row r="1134" spans="1:30" ht="38.25">
      <c r="A1134" s="1">
        <v>108</v>
      </c>
      <c r="B1134" s="13">
        <f t="shared" si="415"/>
        <v>97</v>
      </c>
      <c r="C1134" s="81">
        <v>17.024000000000001</v>
      </c>
      <c r="D1134" s="21" t="s">
        <v>505</v>
      </c>
      <c r="E1134" s="204"/>
      <c r="F1134" s="204">
        <v>1</v>
      </c>
      <c r="G1134" s="535" t="s">
        <v>1845</v>
      </c>
      <c r="H1134" s="89"/>
      <c r="I1134" s="193"/>
      <c r="J1134" s="15">
        <v>218500000</v>
      </c>
      <c r="K1134" s="25">
        <v>218500000</v>
      </c>
      <c r="L1134" s="57" t="s">
        <v>1896</v>
      </c>
      <c r="M1134" s="20">
        <v>163383000</v>
      </c>
      <c r="N1134" s="49" t="s">
        <v>1888</v>
      </c>
      <c r="O1134" s="407" t="s">
        <v>1992</v>
      </c>
      <c r="P1134" s="407" t="s">
        <v>2007</v>
      </c>
      <c r="Q1134" s="18"/>
      <c r="R1134" s="18"/>
      <c r="S1134" s="18" t="s">
        <v>1458</v>
      </c>
      <c r="T1134" s="643">
        <v>1</v>
      </c>
      <c r="U1134" s="643"/>
      <c r="V1134" s="643">
        <v>1</v>
      </c>
      <c r="W1134" s="643"/>
      <c r="X1134" s="643"/>
      <c r="Y1134" s="17">
        <v>100</v>
      </c>
      <c r="Z1134" s="19">
        <v>100</v>
      </c>
      <c r="AA1134" s="22">
        <v>172105750</v>
      </c>
      <c r="AB1134" s="19">
        <f t="shared" si="411"/>
        <v>78.76693363844393</v>
      </c>
      <c r="AC1134" s="20">
        <f t="shared" si="414"/>
        <v>172105750</v>
      </c>
      <c r="AD1134" s="19">
        <f t="shared" si="412"/>
        <v>78.76693363844393</v>
      </c>
    </row>
    <row r="1135" spans="1:30" ht="51">
      <c r="A1135" s="1">
        <v>109</v>
      </c>
      <c r="B1135" s="13">
        <f t="shared" si="415"/>
        <v>98</v>
      </c>
      <c r="C1135" s="81">
        <v>17.024999999999999</v>
      </c>
      <c r="D1135" s="21" t="s">
        <v>506</v>
      </c>
      <c r="E1135" s="204"/>
      <c r="F1135" s="204">
        <v>1</v>
      </c>
      <c r="G1135" s="535" t="s">
        <v>1845</v>
      </c>
      <c r="H1135" s="89"/>
      <c r="I1135" s="193"/>
      <c r="J1135" s="15">
        <v>126500000</v>
      </c>
      <c r="K1135" s="25">
        <v>126500000</v>
      </c>
      <c r="L1135" s="57" t="s">
        <v>2004</v>
      </c>
      <c r="M1135" s="20">
        <v>120800000</v>
      </c>
      <c r="N1135" s="49" t="s">
        <v>2008</v>
      </c>
      <c r="O1135" s="407" t="s">
        <v>2009</v>
      </c>
      <c r="P1135" s="407" t="s">
        <v>2010</v>
      </c>
      <c r="Q1135" s="18"/>
      <c r="R1135" s="18"/>
      <c r="S1135" s="18"/>
      <c r="T1135" s="643"/>
      <c r="U1135" s="643"/>
      <c r="V1135" s="643"/>
      <c r="W1135" s="643"/>
      <c r="X1135" s="643"/>
      <c r="Y1135" s="17">
        <v>100</v>
      </c>
      <c r="Z1135" s="19">
        <v>100</v>
      </c>
      <c r="AA1135" s="22">
        <v>125388575</v>
      </c>
      <c r="AB1135" s="19">
        <f t="shared" si="411"/>
        <v>99.12140316205533</v>
      </c>
      <c r="AC1135" s="20">
        <f t="shared" si="414"/>
        <v>125388575</v>
      </c>
      <c r="AD1135" s="19">
        <f t="shared" si="412"/>
        <v>99.12140316205533</v>
      </c>
    </row>
    <row r="1136" spans="1:30" ht="38.25">
      <c r="A1136" s="1">
        <v>110</v>
      </c>
      <c r="B1136" s="13">
        <f t="shared" si="415"/>
        <v>99</v>
      </c>
      <c r="C1136" s="81">
        <v>17.026</v>
      </c>
      <c r="D1136" s="21" t="s">
        <v>507</v>
      </c>
      <c r="E1136" s="204"/>
      <c r="F1136" s="204">
        <v>1</v>
      </c>
      <c r="G1136" s="535" t="s">
        <v>1845</v>
      </c>
      <c r="H1136" s="89"/>
      <c r="I1136" s="193"/>
      <c r="J1136" s="15">
        <v>353050000</v>
      </c>
      <c r="K1136" s="25">
        <v>353050000</v>
      </c>
      <c r="L1136" s="57" t="s">
        <v>1896</v>
      </c>
      <c r="M1136" s="20">
        <v>233078000</v>
      </c>
      <c r="N1136" s="49" t="s">
        <v>1886</v>
      </c>
      <c r="O1136" s="407" t="s">
        <v>1992</v>
      </c>
      <c r="P1136" s="407" t="s">
        <v>2007</v>
      </c>
      <c r="Q1136" s="18"/>
      <c r="R1136" s="18"/>
      <c r="S1136" s="18" t="s">
        <v>1458</v>
      </c>
      <c r="T1136" s="643">
        <v>1</v>
      </c>
      <c r="U1136" s="643"/>
      <c r="V1136" s="643">
        <v>1</v>
      </c>
      <c r="W1136" s="643"/>
      <c r="X1136" s="643"/>
      <c r="Y1136" s="17">
        <v>100</v>
      </c>
      <c r="Z1136" s="19">
        <v>100</v>
      </c>
      <c r="AA1136" s="22">
        <v>246303000</v>
      </c>
      <c r="AB1136" s="19">
        <f t="shared" si="411"/>
        <v>69.764339328706981</v>
      </c>
      <c r="AC1136" s="20">
        <f t="shared" si="414"/>
        <v>246303000</v>
      </c>
      <c r="AD1136" s="19">
        <f t="shared" si="412"/>
        <v>69.764339328706981</v>
      </c>
    </row>
    <row r="1137" spans="1:30" ht="38.25">
      <c r="A1137" s="1">
        <v>111</v>
      </c>
      <c r="B1137" s="13">
        <f t="shared" si="415"/>
        <v>100</v>
      </c>
      <c r="C1137" s="81">
        <v>17.027000000000001</v>
      </c>
      <c r="D1137" s="21" t="s">
        <v>508</v>
      </c>
      <c r="E1137" s="204"/>
      <c r="F1137" s="204">
        <v>1</v>
      </c>
      <c r="G1137" s="535" t="s">
        <v>1845</v>
      </c>
      <c r="H1137" s="89"/>
      <c r="I1137" s="193"/>
      <c r="J1137" s="15">
        <v>353050000</v>
      </c>
      <c r="K1137" s="25">
        <v>353050000</v>
      </c>
      <c r="L1137" s="57" t="s">
        <v>1896</v>
      </c>
      <c r="M1137" s="20">
        <v>337700000</v>
      </c>
      <c r="N1137" s="49" t="s">
        <v>1887</v>
      </c>
      <c r="O1137" s="407" t="s">
        <v>1992</v>
      </c>
      <c r="P1137" s="407" t="s">
        <v>2007</v>
      </c>
      <c r="Q1137" s="18"/>
      <c r="R1137" s="18"/>
      <c r="S1137" s="18" t="s">
        <v>1458</v>
      </c>
      <c r="T1137" s="643">
        <v>1</v>
      </c>
      <c r="U1137" s="643"/>
      <c r="V1137" s="643">
        <v>1</v>
      </c>
      <c r="W1137" s="643"/>
      <c r="X1137" s="643"/>
      <c r="Y1137" s="17">
        <v>100</v>
      </c>
      <c r="Z1137" s="19">
        <v>100</v>
      </c>
      <c r="AA1137" s="22">
        <v>257741000</v>
      </c>
      <c r="AB1137" s="19">
        <f t="shared" si="411"/>
        <v>73.004107066987672</v>
      </c>
      <c r="AC1137" s="20">
        <f t="shared" si="414"/>
        <v>257741000</v>
      </c>
      <c r="AD1137" s="19">
        <f t="shared" si="412"/>
        <v>73.004107066987672</v>
      </c>
    </row>
    <row r="1138" spans="1:30" ht="51">
      <c r="A1138" s="1">
        <v>112</v>
      </c>
      <c r="B1138" s="13">
        <f t="shared" si="415"/>
        <v>101</v>
      </c>
      <c r="C1138" s="81">
        <v>17.027999999999999</v>
      </c>
      <c r="D1138" s="21" t="s">
        <v>509</v>
      </c>
      <c r="E1138" s="204"/>
      <c r="F1138" s="204">
        <v>1</v>
      </c>
      <c r="G1138" s="535" t="s">
        <v>1845</v>
      </c>
      <c r="H1138" s="89"/>
      <c r="I1138" s="193"/>
      <c r="J1138" s="15">
        <v>353050000</v>
      </c>
      <c r="K1138" s="15">
        <v>353050000</v>
      </c>
      <c r="L1138" s="57" t="s">
        <v>1896</v>
      </c>
      <c r="M1138" s="20">
        <v>337700000</v>
      </c>
      <c r="N1138" s="49" t="s">
        <v>1872</v>
      </c>
      <c r="O1138" s="407" t="s">
        <v>1992</v>
      </c>
      <c r="P1138" s="407" t="s">
        <v>2007</v>
      </c>
      <c r="Q1138" s="18"/>
      <c r="R1138" s="18"/>
      <c r="S1138" s="18" t="s">
        <v>1458</v>
      </c>
      <c r="T1138" s="643">
        <v>1</v>
      </c>
      <c r="U1138" s="643"/>
      <c r="V1138" s="643">
        <v>1</v>
      </c>
      <c r="W1138" s="643"/>
      <c r="X1138" s="643"/>
      <c r="Y1138" s="17">
        <v>100</v>
      </c>
      <c r="Z1138" s="19">
        <v>100</v>
      </c>
      <c r="AA1138" s="22">
        <v>245405000</v>
      </c>
      <c r="AB1138" s="19">
        <f t="shared" si="411"/>
        <v>69.509984421470051</v>
      </c>
      <c r="AC1138" s="20">
        <f t="shared" si="414"/>
        <v>245405000</v>
      </c>
      <c r="AD1138" s="19">
        <f t="shared" si="412"/>
        <v>69.509984421470051</v>
      </c>
    </row>
    <row r="1139" spans="1:30" ht="51">
      <c r="A1139" s="1">
        <v>113</v>
      </c>
      <c r="B1139" s="13">
        <f t="shared" si="415"/>
        <v>102</v>
      </c>
      <c r="C1139" s="81">
        <v>17.029</v>
      </c>
      <c r="D1139" s="21" t="s">
        <v>510</v>
      </c>
      <c r="E1139" s="204"/>
      <c r="F1139" s="204">
        <v>1</v>
      </c>
      <c r="G1139" s="535" t="s">
        <v>1845</v>
      </c>
      <c r="H1139" s="89"/>
      <c r="I1139" s="193"/>
      <c r="J1139" s="15">
        <v>433780000</v>
      </c>
      <c r="K1139" s="15">
        <v>433780000</v>
      </c>
      <c r="L1139" s="57" t="s">
        <v>1896</v>
      </c>
      <c r="M1139" s="20">
        <v>287000000</v>
      </c>
      <c r="N1139" s="49" t="s">
        <v>1858</v>
      </c>
      <c r="O1139" s="407" t="s">
        <v>1992</v>
      </c>
      <c r="P1139" s="407" t="s">
        <v>2007</v>
      </c>
      <c r="Q1139" s="18"/>
      <c r="R1139" s="18"/>
      <c r="S1139" s="18" t="s">
        <v>1458</v>
      </c>
      <c r="T1139" s="643">
        <v>1</v>
      </c>
      <c r="U1139" s="643"/>
      <c r="V1139" s="643">
        <v>1</v>
      </c>
      <c r="W1139" s="643"/>
      <c r="X1139" s="643"/>
      <c r="Y1139" s="17">
        <v>100</v>
      </c>
      <c r="Z1139" s="19">
        <v>100</v>
      </c>
      <c r="AA1139" s="22">
        <v>303642250</v>
      </c>
      <c r="AB1139" s="19">
        <f t="shared" si="411"/>
        <v>69.999135506477941</v>
      </c>
      <c r="AC1139" s="20">
        <f t="shared" si="414"/>
        <v>303642250</v>
      </c>
      <c r="AD1139" s="19">
        <f t="shared" si="412"/>
        <v>69.999135506477941</v>
      </c>
    </row>
    <row r="1140" spans="1:30" ht="51">
      <c r="A1140" s="1">
        <v>114</v>
      </c>
      <c r="B1140" s="13">
        <f t="shared" si="415"/>
        <v>103</v>
      </c>
      <c r="C1140" s="123" t="s">
        <v>511</v>
      </c>
      <c r="D1140" s="21" t="s">
        <v>512</v>
      </c>
      <c r="E1140" s="204"/>
      <c r="F1140" s="204">
        <v>1</v>
      </c>
      <c r="G1140" s="535" t="s">
        <v>1845</v>
      </c>
      <c r="H1140" s="89"/>
      <c r="I1140" s="193"/>
      <c r="J1140" s="15">
        <v>302680000</v>
      </c>
      <c r="K1140" s="15">
        <v>302680000</v>
      </c>
      <c r="L1140" s="57" t="s">
        <v>1896</v>
      </c>
      <c r="M1140" s="20">
        <v>199499000</v>
      </c>
      <c r="N1140" s="49" t="s">
        <v>1872</v>
      </c>
      <c r="O1140" s="407" t="s">
        <v>1992</v>
      </c>
      <c r="P1140" s="407" t="s">
        <v>2007</v>
      </c>
      <c r="Q1140" s="18"/>
      <c r="R1140" s="18"/>
      <c r="S1140" s="18" t="s">
        <v>1458</v>
      </c>
      <c r="T1140" s="643">
        <v>1</v>
      </c>
      <c r="U1140" s="643"/>
      <c r="V1140" s="643">
        <v>1</v>
      </c>
      <c r="W1140" s="643"/>
      <c r="X1140" s="643"/>
      <c r="Y1140" s="17">
        <v>100</v>
      </c>
      <c r="Z1140" s="19">
        <v>100</v>
      </c>
      <c r="AA1140" s="22">
        <v>211027000</v>
      </c>
      <c r="AB1140" s="19">
        <f t="shared" si="411"/>
        <v>69.719505748645432</v>
      </c>
      <c r="AC1140" s="20">
        <f t="shared" si="414"/>
        <v>211027000</v>
      </c>
      <c r="AD1140" s="19">
        <f t="shared" si="412"/>
        <v>69.719505748645432</v>
      </c>
    </row>
    <row r="1141" spans="1:30" ht="36">
      <c r="A1141" s="1">
        <v>115</v>
      </c>
      <c r="B1141" s="13">
        <f t="shared" si="415"/>
        <v>104</v>
      </c>
      <c r="C1141" s="81">
        <v>17.030999999999999</v>
      </c>
      <c r="D1141" s="21" t="s">
        <v>513</v>
      </c>
      <c r="E1141" s="204"/>
      <c r="F1141" s="204">
        <v>1</v>
      </c>
      <c r="G1141" s="535" t="s">
        <v>1845</v>
      </c>
      <c r="H1141" s="89"/>
      <c r="I1141" s="193"/>
      <c r="J1141" s="15">
        <v>115000000</v>
      </c>
      <c r="K1141" s="15">
        <v>115000000</v>
      </c>
      <c r="L1141" s="57" t="s">
        <v>2004</v>
      </c>
      <c r="M1141" s="20">
        <v>109800000</v>
      </c>
      <c r="N1141" s="408" t="s">
        <v>2011</v>
      </c>
      <c r="O1141" s="407" t="s">
        <v>2009</v>
      </c>
      <c r="P1141" s="401" t="s">
        <v>2010</v>
      </c>
      <c r="Q1141" s="18"/>
      <c r="R1141" s="18"/>
      <c r="S1141" s="18"/>
      <c r="T1141" s="643"/>
      <c r="U1141" s="643"/>
      <c r="V1141" s="643"/>
      <c r="W1141" s="643"/>
      <c r="X1141" s="643"/>
      <c r="Y1141" s="20">
        <v>100</v>
      </c>
      <c r="Z1141" s="19">
        <v>100</v>
      </c>
      <c r="AA1141" s="22">
        <v>113933900</v>
      </c>
      <c r="AB1141" s="19">
        <f t="shared" si="411"/>
        <v>99.07295652173913</v>
      </c>
      <c r="AC1141" s="20">
        <f t="shared" si="414"/>
        <v>113933900</v>
      </c>
      <c r="AD1141" s="19">
        <f t="shared" si="412"/>
        <v>99.07295652173913</v>
      </c>
    </row>
    <row r="1142" spans="1:30" ht="76.5">
      <c r="A1142" s="1">
        <v>116</v>
      </c>
      <c r="B1142" s="13">
        <f t="shared" si="415"/>
        <v>105</v>
      </c>
      <c r="C1142" s="81">
        <v>17.032</v>
      </c>
      <c r="D1142" s="21" t="s">
        <v>514</v>
      </c>
      <c r="E1142" s="204"/>
      <c r="F1142" s="204">
        <v>1</v>
      </c>
      <c r="G1142" s="535" t="s">
        <v>1845</v>
      </c>
      <c r="H1142" s="89"/>
      <c r="I1142" s="193"/>
      <c r="J1142" s="15">
        <v>460000000</v>
      </c>
      <c r="K1142" s="15">
        <v>460000000</v>
      </c>
      <c r="L1142" s="57" t="s">
        <v>1896</v>
      </c>
      <c r="M1142" s="20">
        <v>302302000</v>
      </c>
      <c r="N1142" s="49" t="s">
        <v>1882</v>
      </c>
      <c r="O1142" s="407" t="s">
        <v>1992</v>
      </c>
      <c r="P1142" s="407" t="s">
        <v>2007</v>
      </c>
      <c r="Q1142" s="18"/>
      <c r="R1142" s="18"/>
      <c r="S1142" s="18" t="s">
        <v>1458</v>
      </c>
      <c r="T1142" s="643">
        <v>1</v>
      </c>
      <c r="U1142" s="643"/>
      <c r="V1142" s="643">
        <v>1</v>
      </c>
      <c r="W1142" s="643"/>
      <c r="X1142" s="643"/>
      <c r="Y1142" s="20">
        <v>100</v>
      </c>
      <c r="Z1142" s="19">
        <v>100</v>
      </c>
      <c r="AA1142" s="22">
        <v>319260250</v>
      </c>
      <c r="AB1142" s="19">
        <f t="shared" si="411"/>
        <v>69.404402173913056</v>
      </c>
      <c r="AC1142" s="20">
        <f t="shared" si="414"/>
        <v>319260250</v>
      </c>
      <c r="AD1142" s="19">
        <f t="shared" si="412"/>
        <v>69.404402173913056</v>
      </c>
    </row>
    <row r="1143" spans="1:30" ht="36">
      <c r="A1143" s="1">
        <v>117</v>
      </c>
      <c r="B1143" s="13">
        <f t="shared" si="415"/>
        <v>106</v>
      </c>
      <c r="C1143" s="81">
        <v>17.033000000000001</v>
      </c>
      <c r="D1143" s="21" t="s">
        <v>515</v>
      </c>
      <c r="E1143" s="204"/>
      <c r="F1143" s="204">
        <v>1</v>
      </c>
      <c r="G1143" s="535" t="s">
        <v>1845</v>
      </c>
      <c r="H1143" s="89"/>
      <c r="I1143" s="193"/>
      <c r="J1143" s="15">
        <v>460000000</v>
      </c>
      <c r="K1143" s="15">
        <v>460000000</v>
      </c>
      <c r="L1143" s="57" t="s">
        <v>1896</v>
      </c>
      <c r="M1143" s="20">
        <v>312033000</v>
      </c>
      <c r="N1143" s="408" t="s">
        <v>1883</v>
      </c>
      <c r="O1143" s="407" t="s">
        <v>1992</v>
      </c>
      <c r="P1143" s="407" t="s">
        <v>2007</v>
      </c>
      <c r="Q1143" s="18"/>
      <c r="R1143" s="18"/>
      <c r="S1143" s="18" t="s">
        <v>1458</v>
      </c>
      <c r="T1143" s="643">
        <v>1</v>
      </c>
      <c r="U1143" s="643"/>
      <c r="V1143" s="643">
        <v>1</v>
      </c>
      <c r="W1143" s="643"/>
      <c r="X1143" s="643"/>
      <c r="Y1143" s="20">
        <v>100</v>
      </c>
      <c r="Z1143" s="19">
        <v>100</v>
      </c>
      <c r="AA1143" s="22">
        <v>328991250</v>
      </c>
      <c r="AB1143" s="19">
        <f t="shared" si="411"/>
        <v>71.519836956521743</v>
      </c>
      <c r="AC1143" s="20">
        <f t="shared" si="414"/>
        <v>328991250</v>
      </c>
      <c r="AD1143" s="19">
        <f t="shared" si="412"/>
        <v>71.519836956521743</v>
      </c>
    </row>
    <row r="1144" spans="1:30" ht="36">
      <c r="A1144" s="1">
        <v>118</v>
      </c>
      <c r="B1144" s="13">
        <f t="shared" si="415"/>
        <v>107</v>
      </c>
      <c r="C1144" s="81">
        <v>17.033999999999999</v>
      </c>
      <c r="D1144" s="21" t="s">
        <v>516</v>
      </c>
      <c r="E1144" s="204"/>
      <c r="F1144" s="204">
        <v>1</v>
      </c>
      <c r="G1144" s="535" t="s">
        <v>1845</v>
      </c>
      <c r="H1144" s="89"/>
      <c r="I1144" s="193"/>
      <c r="J1144" s="15">
        <v>241500000</v>
      </c>
      <c r="K1144" s="15">
        <v>241500000</v>
      </c>
      <c r="L1144" s="57" t="s">
        <v>1896</v>
      </c>
      <c r="M1144" s="20">
        <v>166727000</v>
      </c>
      <c r="N1144" s="408" t="s">
        <v>2050</v>
      </c>
      <c r="O1144" s="401"/>
      <c r="P1144" s="401"/>
      <c r="Q1144" s="18"/>
      <c r="R1144" s="18"/>
      <c r="S1144" s="18" t="s">
        <v>1458</v>
      </c>
      <c r="T1144" s="643">
        <v>1</v>
      </c>
      <c r="U1144" s="643"/>
      <c r="V1144" s="643">
        <v>1</v>
      </c>
      <c r="W1144" s="643"/>
      <c r="X1144" s="643"/>
      <c r="Y1144" s="20">
        <v>100</v>
      </c>
      <c r="Z1144" s="19">
        <v>100</v>
      </c>
      <c r="AA1144" s="22">
        <v>167246150</v>
      </c>
      <c r="AB1144" s="19">
        <f t="shared" si="411"/>
        <v>69.253064182194606</v>
      </c>
      <c r="AC1144" s="20">
        <f t="shared" si="414"/>
        <v>167246150</v>
      </c>
      <c r="AD1144" s="19">
        <f t="shared" si="412"/>
        <v>69.253064182194606</v>
      </c>
    </row>
    <row r="1145" spans="1:30" ht="36">
      <c r="A1145" s="1">
        <v>119</v>
      </c>
      <c r="B1145" s="13">
        <f>B1144+1</f>
        <v>108</v>
      </c>
      <c r="C1145" s="81">
        <v>17.035</v>
      </c>
      <c r="D1145" s="21" t="s">
        <v>517</v>
      </c>
      <c r="E1145" s="204"/>
      <c r="F1145" s="204">
        <v>1</v>
      </c>
      <c r="G1145" s="535" t="s">
        <v>1845</v>
      </c>
      <c r="H1145" s="89"/>
      <c r="I1145" s="193"/>
      <c r="J1145" s="15">
        <v>264500000</v>
      </c>
      <c r="K1145" s="15">
        <v>264500000</v>
      </c>
      <c r="L1145" s="57" t="s">
        <v>1896</v>
      </c>
      <c r="M1145" s="20">
        <v>188757000</v>
      </c>
      <c r="N1145" s="408" t="s">
        <v>1889</v>
      </c>
      <c r="O1145" s="407" t="s">
        <v>1992</v>
      </c>
      <c r="P1145" s="407" t="s">
        <v>2007</v>
      </c>
      <c r="Q1145" s="18"/>
      <c r="R1145" s="18"/>
      <c r="S1145" s="18" t="s">
        <v>1458</v>
      </c>
      <c r="T1145" s="643">
        <v>1</v>
      </c>
      <c r="U1145" s="643"/>
      <c r="V1145" s="643">
        <v>1</v>
      </c>
      <c r="W1145" s="643"/>
      <c r="X1145" s="643"/>
      <c r="Y1145" s="20">
        <v>100</v>
      </c>
      <c r="Z1145" s="19">
        <v>100</v>
      </c>
      <c r="AA1145" s="22">
        <v>198527750</v>
      </c>
      <c r="AB1145" s="19">
        <f t="shared" si="411"/>
        <v>75.057750472589788</v>
      </c>
      <c r="AC1145" s="20">
        <f t="shared" si="414"/>
        <v>198527750</v>
      </c>
      <c r="AD1145" s="19">
        <f t="shared" si="412"/>
        <v>75.057750472589788</v>
      </c>
    </row>
    <row r="1146" spans="1:30" ht="48">
      <c r="A1146" s="1">
        <v>120</v>
      </c>
      <c r="B1146" s="13">
        <f t="shared" si="415"/>
        <v>109</v>
      </c>
      <c r="C1146" s="81">
        <v>17.036000000000001</v>
      </c>
      <c r="D1146" s="21" t="s">
        <v>518</v>
      </c>
      <c r="E1146" s="204"/>
      <c r="F1146" s="204">
        <v>1</v>
      </c>
      <c r="G1146" s="535" t="s">
        <v>1845</v>
      </c>
      <c r="H1146" s="89"/>
      <c r="I1146" s="193"/>
      <c r="J1146" s="15">
        <v>133929000</v>
      </c>
      <c r="K1146" s="15">
        <v>133929000</v>
      </c>
      <c r="L1146" s="57" t="s">
        <v>2004</v>
      </c>
      <c r="M1146" s="20">
        <v>128000000</v>
      </c>
      <c r="N1146" s="408" t="s">
        <v>1914</v>
      </c>
      <c r="O1146" s="401" t="s">
        <v>2009</v>
      </c>
      <c r="P1146" s="401" t="s">
        <v>2010</v>
      </c>
      <c r="Q1146" s="18"/>
      <c r="R1146" s="18"/>
      <c r="S1146" s="18"/>
      <c r="T1146" s="643"/>
      <c r="U1146" s="643"/>
      <c r="V1146" s="643"/>
      <c r="W1146" s="643"/>
      <c r="X1146" s="643"/>
      <c r="Y1146" s="20">
        <v>100</v>
      </c>
      <c r="Z1146" s="19">
        <v>100</v>
      </c>
      <c r="AA1146" s="22">
        <v>132834950</v>
      </c>
      <c r="AB1146" s="19">
        <f t="shared" si="411"/>
        <v>99.183111947375096</v>
      </c>
      <c r="AC1146" s="20">
        <f t="shared" si="414"/>
        <v>132834950</v>
      </c>
      <c r="AD1146" s="19">
        <f t="shared" si="412"/>
        <v>99.183111947375096</v>
      </c>
    </row>
    <row r="1147" spans="1:30" ht="36">
      <c r="A1147" s="1">
        <v>121</v>
      </c>
      <c r="B1147" s="13">
        <f t="shared" si="415"/>
        <v>110</v>
      </c>
      <c r="C1147" s="81">
        <v>17.036999999999999</v>
      </c>
      <c r="D1147" s="21" t="s">
        <v>519</v>
      </c>
      <c r="E1147" s="204"/>
      <c r="F1147" s="204">
        <v>1</v>
      </c>
      <c r="G1147" s="535" t="s">
        <v>1845</v>
      </c>
      <c r="H1147" s="89"/>
      <c r="I1147" s="193"/>
      <c r="J1147" s="15">
        <v>200000000</v>
      </c>
      <c r="K1147" s="15">
        <v>200000000</v>
      </c>
      <c r="L1147" s="57" t="s">
        <v>2004</v>
      </c>
      <c r="M1147" s="20">
        <v>191000000</v>
      </c>
      <c r="N1147" s="408" t="s">
        <v>2012</v>
      </c>
      <c r="O1147" s="401" t="s">
        <v>2009</v>
      </c>
      <c r="P1147" s="401" t="s">
        <v>2010</v>
      </c>
      <c r="Q1147" s="18"/>
      <c r="R1147" s="18"/>
      <c r="S1147" s="18"/>
      <c r="T1147" s="643"/>
      <c r="U1147" s="643"/>
      <c r="V1147" s="643"/>
      <c r="W1147" s="643"/>
      <c r="X1147" s="643"/>
      <c r="Y1147" s="20">
        <v>100</v>
      </c>
      <c r="Z1147" s="19">
        <v>100</v>
      </c>
      <c r="AA1147" s="22">
        <v>199292250</v>
      </c>
      <c r="AB1147" s="19">
        <f t="shared" si="411"/>
        <v>99.646124999999998</v>
      </c>
      <c r="AC1147" s="20">
        <f t="shared" si="414"/>
        <v>199292250</v>
      </c>
      <c r="AD1147" s="19">
        <f t="shared" si="412"/>
        <v>99.646124999999998</v>
      </c>
    </row>
    <row r="1148" spans="1:30" ht="27">
      <c r="A1148" s="1">
        <v>122</v>
      </c>
      <c r="B1148" s="13"/>
      <c r="C1148" s="86" t="s">
        <v>520</v>
      </c>
      <c r="D1148" s="86" t="s">
        <v>521</v>
      </c>
      <c r="E1148" s="485"/>
      <c r="F1148" s="204"/>
      <c r="G1148" s="535"/>
      <c r="H1148" s="87"/>
      <c r="I1148" s="441"/>
      <c r="J1148" s="130"/>
      <c r="K1148" s="130"/>
      <c r="L1148" s="57"/>
      <c r="M1148" s="20"/>
      <c r="N1148" s="408"/>
      <c r="O1148" s="401"/>
      <c r="P1148" s="401"/>
      <c r="Q1148" s="18"/>
      <c r="R1148" s="18"/>
      <c r="S1148" s="18"/>
      <c r="T1148" s="643"/>
      <c r="U1148" s="643"/>
      <c r="V1148" s="643"/>
      <c r="W1148" s="643"/>
      <c r="X1148" s="643"/>
      <c r="Y1148" s="20"/>
      <c r="Z1148" s="19"/>
      <c r="AA1148" s="22"/>
      <c r="AB1148" s="19"/>
      <c r="AC1148" s="20"/>
      <c r="AD1148" s="19"/>
    </row>
    <row r="1149" spans="1:30" ht="25.5">
      <c r="A1149" s="1">
        <v>123</v>
      </c>
      <c r="B1149" s="13">
        <f>B1147+1</f>
        <v>111</v>
      </c>
      <c r="C1149" s="74" t="s">
        <v>251</v>
      </c>
      <c r="D1149" s="21" t="s">
        <v>522</v>
      </c>
      <c r="E1149" s="204"/>
      <c r="F1149" s="204">
        <v>1</v>
      </c>
      <c r="G1149" s="535" t="s">
        <v>1845</v>
      </c>
      <c r="H1149" s="89"/>
      <c r="I1149" s="193"/>
      <c r="J1149" s="15">
        <v>260000000</v>
      </c>
      <c r="K1149" s="25">
        <v>260000000</v>
      </c>
      <c r="L1149" s="57"/>
      <c r="M1149" s="20"/>
      <c r="N1149" s="408"/>
      <c r="O1149" s="407"/>
      <c r="P1149" s="407"/>
      <c r="Q1149" s="18"/>
      <c r="R1149" s="18"/>
      <c r="S1149" s="18"/>
      <c r="T1149" s="643"/>
      <c r="U1149" s="643"/>
      <c r="V1149" s="643"/>
      <c r="W1149" s="643"/>
      <c r="X1149" s="643"/>
      <c r="Y1149" s="20">
        <v>100</v>
      </c>
      <c r="Z1149" s="19">
        <v>100</v>
      </c>
      <c r="AA1149" s="22">
        <v>249260300</v>
      </c>
      <c r="AB1149" s="19">
        <f t="shared" si="411"/>
        <v>95.869346153846152</v>
      </c>
      <c r="AC1149" s="20">
        <f t="shared" si="414"/>
        <v>249260300</v>
      </c>
      <c r="AD1149" s="19">
        <f t="shared" si="412"/>
        <v>95.869346153846152</v>
      </c>
    </row>
    <row r="1150" spans="1:30" ht="25.5">
      <c r="A1150" s="1">
        <v>124</v>
      </c>
      <c r="B1150" s="13">
        <f t="shared" si="415"/>
        <v>112</v>
      </c>
      <c r="C1150" s="74" t="s">
        <v>253</v>
      </c>
      <c r="D1150" s="21" t="s">
        <v>523</v>
      </c>
      <c r="E1150" s="204"/>
      <c r="F1150" s="204">
        <v>1</v>
      </c>
      <c r="G1150" s="535" t="s">
        <v>1845</v>
      </c>
      <c r="H1150" s="89"/>
      <c r="I1150" s="193"/>
      <c r="J1150" s="15">
        <v>275000000</v>
      </c>
      <c r="K1150" s="25">
        <v>275000000</v>
      </c>
      <c r="L1150" s="57"/>
      <c r="M1150" s="20"/>
      <c r="N1150" s="408"/>
      <c r="O1150" s="401"/>
      <c r="P1150" s="401"/>
      <c r="Q1150" s="18"/>
      <c r="R1150" s="18"/>
      <c r="S1150" s="18"/>
      <c r="T1150" s="643"/>
      <c r="U1150" s="643"/>
      <c r="V1150" s="643"/>
      <c r="W1150" s="643"/>
      <c r="X1150" s="643"/>
      <c r="Y1150" s="20">
        <v>100</v>
      </c>
      <c r="Z1150" s="19">
        <v>100</v>
      </c>
      <c r="AA1150" s="22">
        <v>260451000</v>
      </c>
      <c r="AB1150" s="19">
        <f t="shared" si="411"/>
        <v>94.709454545454548</v>
      </c>
      <c r="AC1150" s="20">
        <f t="shared" si="414"/>
        <v>260451000</v>
      </c>
      <c r="AD1150" s="19">
        <f t="shared" si="412"/>
        <v>94.709454545454548</v>
      </c>
    </row>
    <row r="1151" spans="1:30">
      <c r="A1151" s="1">
        <v>125</v>
      </c>
      <c r="B1151" s="13">
        <f t="shared" si="415"/>
        <v>113</v>
      </c>
      <c r="C1151" s="74" t="s">
        <v>524</v>
      </c>
      <c r="D1151" s="21" t="s">
        <v>525</v>
      </c>
      <c r="E1151" s="204"/>
      <c r="F1151" s="204">
        <v>1</v>
      </c>
      <c r="G1151" s="535" t="s">
        <v>1845</v>
      </c>
      <c r="H1151" s="89"/>
      <c r="I1151" s="193"/>
      <c r="J1151" s="15">
        <v>200000000</v>
      </c>
      <c r="K1151" s="25">
        <v>200000000</v>
      </c>
      <c r="L1151" s="57"/>
      <c r="M1151" s="20"/>
      <c r="N1151" s="408"/>
      <c r="O1151" s="401"/>
      <c r="P1151" s="401"/>
      <c r="Q1151" s="18"/>
      <c r="R1151" s="18"/>
      <c r="S1151" s="18"/>
      <c r="T1151" s="643"/>
      <c r="U1151" s="643"/>
      <c r="V1151" s="643"/>
      <c r="W1151" s="643"/>
      <c r="X1151" s="643"/>
      <c r="Y1151" s="20">
        <v>100</v>
      </c>
      <c r="Z1151" s="19">
        <v>100</v>
      </c>
      <c r="AA1151" s="22">
        <v>195974000</v>
      </c>
      <c r="AB1151" s="19">
        <f t="shared" si="411"/>
        <v>97.986999999999995</v>
      </c>
      <c r="AC1151" s="20">
        <f t="shared" si="414"/>
        <v>195974000</v>
      </c>
      <c r="AD1151" s="19">
        <f t="shared" si="412"/>
        <v>97.986999999999995</v>
      </c>
    </row>
    <row r="1152" spans="1:30" ht="25.5">
      <c r="A1152" s="1">
        <v>126</v>
      </c>
      <c r="B1152" s="13">
        <f t="shared" si="415"/>
        <v>114</v>
      </c>
      <c r="C1152" s="74" t="s">
        <v>259</v>
      </c>
      <c r="D1152" s="21" t="s">
        <v>526</v>
      </c>
      <c r="E1152" s="204"/>
      <c r="F1152" s="204">
        <v>1</v>
      </c>
      <c r="G1152" s="535" t="s">
        <v>1845</v>
      </c>
      <c r="H1152" s="89"/>
      <c r="I1152" s="193"/>
      <c r="J1152" s="15">
        <v>2505000000</v>
      </c>
      <c r="K1152" s="25">
        <v>1783873000</v>
      </c>
      <c r="L1152" s="57"/>
      <c r="M1152" s="20"/>
      <c r="N1152" s="49"/>
      <c r="O1152" s="401"/>
      <c r="P1152" s="401"/>
      <c r="Q1152" s="18"/>
      <c r="R1152" s="18"/>
      <c r="S1152" s="18" t="s">
        <v>1458</v>
      </c>
      <c r="T1152" s="643">
        <v>1</v>
      </c>
      <c r="U1152" s="643">
        <v>1</v>
      </c>
      <c r="V1152" s="643"/>
      <c r="W1152" s="643"/>
      <c r="X1152" s="643"/>
      <c r="Y1152" s="20">
        <v>100</v>
      </c>
      <c r="Z1152" s="19">
        <v>100</v>
      </c>
      <c r="AA1152" s="22">
        <v>43433500</v>
      </c>
      <c r="AB1152" s="19">
        <f t="shared" si="411"/>
        <v>2.4347865571147724</v>
      </c>
      <c r="AC1152" s="20">
        <f t="shared" si="414"/>
        <v>43433500</v>
      </c>
      <c r="AD1152" s="19">
        <f t="shared" si="412"/>
        <v>2.4347865571147724</v>
      </c>
    </row>
    <row r="1153" spans="1:30" ht="25.5">
      <c r="A1153" s="1">
        <v>127</v>
      </c>
      <c r="B1153" s="13">
        <f t="shared" si="415"/>
        <v>115</v>
      </c>
      <c r="C1153" s="74" t="s">
        <v>261</v>
      </c>
      <c r="D1153" s="21" t="s">
        <v>527</v>
      </c>
      <c r="E1153" s="204"/>
      <c r="F1153" s="204">
        <v>1</v>
      </c>
      <c r="G1153" s="535" t="s">
        <v>1845</v>
      </c>
      <c r="H1153" s="89"/>
      <c r="I1153" s="193"/>
      <c r="J1153" s="15">
        <v>250000000</v>
      </c>
      <c r="K1153" s="25">
        <v>250000000</v>
      </c>
      <c r="L1153" s="57"/>
      <c r="M1153" s="20"/>
      <c r="N1153" s="49"/>
      <c r="O1153" s="401"/>
      <c r="P1153" s="401"/>
      <c r="Q1153" s="18"/>
      <c r="R1153" s="18"/>
      <c r="S1153" s="18"/>
      <c r="T1153" s="643"/>
      <c r="U1153" s="643"/>
      <c r="V1153" s="643"/>
      <c r="W1153" s="643"/>
      <c r="X1153" s="643"/>
      <c r="Y1153" s="20">
        <v>100</v>
      </c>
      <c r="Z1153" s="19">
        <v>100</v>
      </c>
      <c r="AA1153" s="22">
        <v>248773000</v>
      </c>
      <c r="AB1153" s="19">
        <f t="shared" si="411"/>
        <v>99.509199999999993</v>
      </c>
      <c r="AC1153" s="20">
        <f t="shared" si="414"/>
        <v>248773000</v>
      </c>
      <c r="AD1153" s="19">
        <f t="shared" si="412"/>
        <v>99.509199999999993</v>
      </c>
    </row>
    <row r="1154" spans="1:30" ht="31.5" customHeight="1">
      <c r="A1154" s="1">
        <v>128</v>
      </c>
      <c r="B1154" s="13">
        <f t="shared" si="415"/>
        <v>116</v>
      </c>
      <c r="C1154" s="74" t="s">
        <v>263</v>
      </c>
      <c r="D1154" s="21" t="s">
        <v>528</v>
      </c>
      <c r="E1154" s="204"/>
      <c r="F1154" s="204">
        <v>1</v>
      </c>
      <c r="G1154" s="535" t="s">
        <v>1845</v>
      </c>
      <c r="H1154" s="89"/>
      <c r="I1154" s="193"/>
      <c r="J1154" s="15">
        <v>284608000</v>
      </c>
      <c r="K1154" s="25">
        <v>284608000</v>
      </c>
      <c r="L1154" s="57"/>
      <c r="M1154" s="20">
        <v>256830000</v>
      </c>
      <c r="N1154" s="49" t="s">
        <v>2059</v>
      </c>
      <c r="O1154" s="401"/>
      <c r="P1154" s="401"/>
      <c r="Q1154" s="18"/>
      <c r="R1154" s="18"/>
      <c r="S1154" s="18" t="s">
        <v>1458</v>
      </c>
      <c r="T1154" s="643">
        <v>1</v>
      </c>
      <c r="U1154" s="643"/>
      <c r="V1154" s="643">
        <v>1</v>
      </c>
      <c r="W1154" s="643"/>
      <c r="X1154" s="643"/>
      <c r="Y1154" s="20">
        <v>100</v>
      </c>
      <c r="Z1154" s="19">
        <v>100</v>
      </c>
      <c r="AA1154" s="22">
        <v>255950500</v>
      </c>
      <c r="AB1154" s="19">
        <f t="shared" si="411"/>
        <v>89.930887395997303</v>
      </c>
      <c r="AC1154" s="20">
        <f t="shared" si="414"/>
        <v>255950500</v>
      </c>
      <c r="AD1154" s="19">
        <f t="shared" si="412"/>
        <v>89.930887395997303</v>
      </c>
    </row>
    <row r="1155" spans="1:30">
      <c r="A1155" s="1">
        <v>129</v>
      </c>
      <c r="B1155" s="13">
        <f t="shared" si="415"/>
        <v>117</v>
      </c>
      <c r="C1155" s="74" t="s">
        <v>265</v>
      </c>
      <c r="D1155" s="21" t="s">
        <v>529</v>
      </c>
      <c r="E1155" s="204"/>
      <c r="F1155" s="204">
        <v>1</v>
      </c>
      <c r="G1155" s="535" t="s">
        <v>1845</v>
      </c>
      <c r="H1155" s="89"/>
      <c r="I1155" s="193"/>
      <c r="J1155" s="15">
        <v>276500000</v>
      </c>
      <c r="K1155" s="25">
        <v>276500000</v>
      </c>
      <c r="L1155" s="57"/>
      <c r="M1155" s="20"/>
      <c r="N1155" s="18"/>
      <c r="O1155" s="407"/>
      <c r="P1155" s="407"/>
      <c r="Q1155" s="18"/>
      <c r="R1155" s="18"/>
      <c r="S1155" s="18"/>
      <c r="T1155" s="643"/>
      <c r="U1155" s="643"/>
      <c r="V1155" s="643"/>
      <c r="W1155" s="643"/>
      <c r="X1155" s="643"/>
      <c r="Y1155" s="20">
        <v>100</v>
      </c>
      <c r="Z1155" s="19">
        <v>100</v>
      </c>
      <c r="AA1155" s="22">
        <v>270815000</v>
      </c>
      <c r="AB1155" s="19">
        <f t="shared" si="411"/>
        <v>97.943942133815554</v>
      </c>
      <c r="AC1155" s="20">
        <f t="shared" si="414"/>
        <v>270815000</v>
      </c>
      <c r="AD1155" s="19">
        <f t="shared" si="412"/>
        <v>97.943942133815554</v>
      </c>
    </row>
    <row r="1156" spans="1:30" ht="27">
      <c r="A1156" s="1">
        <v>130</v>
      </c>
      <c r="B1156" s="13"/>
      <c r="C1156" s="86" t="s">
        <v>530</v>
      </c>
      <c r="D1156" s="86" t="s">
        <v>531</v>
      </c>
      <c r="E1156" s="485"/>
      <c r="F1156" s="204"/>
      <c r="G1156" s="535"/>
      <c r="H1156" s="87"/>
      <c r="I1156" s="441"/>
      <c r="J1156" s="130"/>
      <c r="K1156" s="130"/>
      <c r="L1156" s="57"/>
      <c r="M1156" s="20"/>
      <c r="N1156" s="18"/>
      <c r="O1156" s="401"/>
      <c r="P1156" s="401"/>
      <c r="Q1156" s="18"/>
      <c r="R1156" s="18"/>
      <c r="S1156" s="18"/>
      <c r="T1156" s="643"/>
      <c r="U1156" s="643"/>
      <c r="V1156" s="643"/>
      <c r="W1156" s="643"/>
      <c r="X1156" s="643"/>
      <c r="Y1156" s="20"/>
      <c r="Z1156" s="19"/>
      <c r="AA1156" s="22"/>
      <c r="AB1156" s="19"/>
      <c r="AC1156" s="20"/>
      <c r="AD1156" s="19"/>
    </row>
    <row r="1157" spans="1:30">
      <c r="A1157" s="1">
        <v>131</v>
      </c>
      <c r="B1157" s="13">
        <f>B1155+1</f>
        <v>118</v>
      </c>
      <c r="C1157" s="74" t="s">
        <v>271</v>
      </c>
      <c r="D1157" s="21" t="s">
        <v>532</v>
      </c>
      <c r="E1157" s="204"/>
      <c r="F1157" s="204">
        <v>1</v>
      </c>
      <c r="G1157" s="535" t="s">
        <v>1845</v>
      </c>
      <c r="H1157" s="89"/>
      <c r="I1157" s="193"/>
      <c r="J1157" s="15">
        <v>32000000</v>
      </c>
      <c r="K1157" s="15">
        <v>32000000</v>
      </c>
      <c r="L1157" s="57"/>
      <c r="M1157" s="20"/>
      <c r="N1157" s="49"/>
      <c r="O1157" s="401"/>
      <c r="P1157" s="401"/>
      <c r="Q1157" s="18"/>
      <c r="R1157" s="18"/>
      <c r="S1157" s="18"/>
      <c r="T1157" s="643"/>
      <c r="U1157" s="643"/>
      <c r="V1157" s="643"/>
      <c r="W1157" s="643"/>
      <c r="X1157" s="643"/>
      <c r="Y1157" s="20">
        <v>100</v>
      </c>
      <c r="Z1157" s="19">
        <v>100</v>
      </c>
      <c r="AA1157" s="22">
        <v>0</v>
      </c>
      <c r="AB1157" s="19">
        <f t="shared" si="411"/>
        <v>0</v>
      </c>
      <c r="AC1157" s="20">
        <f t="shared" si="414"/>
        <v>0</v>
      </c>
      <c r="AD1157" s="19">
        <f t="shared" si="412"/>
        <v>0</v>
      </c>
    </row>
    <row r="1158" spans="1:30">
      <c r="A1158" s="1">
        <v>132</v>
      </c>
      <c r="B1158" s="13">
        <f>B1157+1</f>
        <v>119</v>
      </c>
      <c r="C1158" s="74" t="s">
        <v>533</v>
      </c>
      <c r="D1158" s="21" t="s">
        <v>534</v>
      </c>
      <c r="E1158" s="204"/>
      <c r="F1158" s="204">
        <v>1</v>
      </c>
      <c r="G1158" s="535" t="s">
        <v>1845</v>
      </c>
      <c r="H1158" s="89"/>
      <c r="I1158" s="193"/>
      <c r="J1158" s="15">
        <v>63973000</v>
      </c>
      <c r="K1158" s="15">
        <v>63973000</v>
      </c>
      <c r="L1158" s="57"/>
      <c r="M1158" s="20"/>
      <c r="N1158" s="49"/>
      <c r="O1158" s="401"/>
      <c r="P1158" s="401"/>
      <c r="Q1158" s="18"/>
      <c r="R1158" s="18"/>
      <c r="S1158" s="18"/>
      <c r="T1158" s="643"/>
      <c r="U1158" s="643"/>
      <c r="V1158" s="643"/>
      <c r="W1158" s="643"/>
      <c r="X1158" s="643"/>
      <c r="Y1158" s="461">
        <v>100</v>
      </c>
      <c r="Z1158" s="461">
        <v>100</v>
      </c>
      <c r="AA1158" s="22">
        <v>27220227</v>
      </c>
      <c r="AB1158" s="19">
        <f t="shared" ref="AB1158:AB1222" si="416">AA1158/K1158*100</f>
        <v>42.549555281134225</v>
      </c>
      <c r="AC1158" s="20">
        <f t="shared" si="414"/>
        <v>27220227</v>
      </c>
      <c r="AD1158" s="19">
        <f t="shared" ref="AD1158:AD1222" si="417">AC1158/K1158*100</f>
        <v>42.549555281134225</v>
      </c>
    </row>
    <row r="1159" spans="1:30" ht="25.5">
      <c r="A1159" s="1">
        <v>133</v>
      </c>
      <c r="B1159" s="13">
        <f t="shared" si="415"/>
        <v>120</v>
      </c>
      <c r="C1159" s="74" t="s">
        <v>275</v>
      </c>
      <c r="D1159" s="21" t="s">
        <v>535</v>
      </c>
      <c r="E1159" s="204"/>
      <c r="F1159" s="204">
        <v>1</v>
      </c>
      <c r="G1159" s="535" t="s">
        <v>1845</v>
      </c>
      <c r="H1159" s="89"/>
      <c r="I1159" s="193"/>
      <c r="J1159" s="15">
        <v>46630000</v>
      </c>
      <c r="K1159" s="15">
        <v>46630000</v>
      </c>
      <c r="L1159" s="57"/>
      <c r="M1159" s="20"/>
      <c r="N1159" s="49"/>
      <c r="O1159" s="401"/>
      <c r="P1159" s="401"/>
      <c r="Q1159" s="18"/>
      <c r="R1159" s="18"/>
      <c r="S1159" s="18"/>
      <c r="T1159" s="643"/>
      <c r="U1159" s="643"/>
      <c r="V1159" s="643"/>
      <c r="W1159" s="643"/>
      <c r="X1159" s="643"/>
      <c r="Y1159" s="20">
        <v>100</v>
      </c>
      <c r="Z1159" s="19">
        <v>100</v>
      </c>
      <c r="AA1159" s="22">
        <v>18620850</v>
      </c>
      <c r="AB1159" s="19">
        <f t="shared" si="416"/>
        <v>39.93319751233112</v>
      </c>
      <c r="AC1159" s="20">
        <f t="shared" si="414"/>
        <v>18620850</v>
      </c>
      <c r="AD1159" s="19">
        <f t="shared" si="417"/>
        <v>39.93319751233112</v>
      </c>
    </row>
    <row r="1160" spans="1:30" ht="25.5">
      <c r="A1160" s="1">
        <v>134</v>
      </c>
      <c r="B1160" s="13">
        <f t="shared" si="415"/>
        <v>121</v>
      </c>
      <c r="C1160" s="74" t="s">
        <v>277</v>
      </c>
      <c r="D1160" s="21" t="s">
        <v>536</v>
      </c>
      <c r="E1160" s="204"/>
      <c r="F1160" s="204">
        <v>1</v>
      </c>
      <c r="G1160" s="535" t="s">
        <v>1845</v>
      </c>
      <c r="H1160" s="89"/>
      <c r="I1160" s="193"/>
      <c r="J1160" s="15">
        <v>2188585000</v>
      </c>
      <c r="K1160" s="15">
        <v>2188585000</v>
      </c>
      <c r="L1160" s="57"/>
      <c r="M1160" s="20"/>
      <c r="N1160" s="49"/>
      <c r="O1160" s="401"/>
      <c r="P1160" s="401"/>
      <c r="Q1160" s="18"/>
      <c r="R1160" s="18"/>
      <c r="S1160" s="18"/>
      <c r="T1160" s="643"/>
      <c r="U1160" s="643"/>
      <c r="V1160" s="643"/>
      <c r="W1160" s="643"/>
      <c r="X1160" s="643"/>
      <c r="Y1160" s="20">
        <v>100</v>
      </c>
      <c r="Z1160" s="19">
        <v>100</v>
      </c>
      <c r="AA1160" s="22">
        <v>1482929900</v>
      </c>
      <c r="AB1160" s="19">
        <f t="shared" si="416"/>
        <v>67.757473436032868</v>
      </c>
      <c r="AC1160" s="20">
        <f t="shared" si="414"/>
        <v>1482929900</v>
      </c>
      <c r="AD1160" s="19">
        <f t="shared" si="417"/>
        <v>67.757473436032868</v>
      </c>
    </row>
    <row r="1161" spans="1:30" ht="25.5">
      <c r="A1161" s="1">
        <v>135</v>
      </c>
      <c r="B1161" s="13"/>
      <c r="C1161" s="74"/>
      <c r="D1161" s="21" t="s">
        <v>2013</v>
      </c>
      <c r="E1161" s="204"/>
      <c r="F1161" s="204"/>
      <c r="G1161" s="535"/>
      <c r="H1161" s="89"/>
      <c r="I1161" s="193"/>
      <c r="J1161" s="15">
        <v>350856000</v>
      </c>
      <c r="K1161" s="15">
        <v>350856000</v>
      </c>
      <c r="L1161" s="57"/>
      <c r="M1161" s="20"/>
      <c r="N1161" s="49"/>
      <c r="O1161" s="401"/>
      <c r="P1161" s="401"/>
      <c r="Q1161" s="18"/>
      <c r="R1161" s="18"/>
      <c r="S1161" s="18"/>
      <c r="T1161" s="643"/>
      <c r="U1161" s="643"/>
      <c r="V1161" s="643"/>
      <c r="W1161" s="643"/>
      <c r="X1161" s="643"/>
      <c r="Y1161" s="98"/>
      <c r="Z1161" s="19"/>
      <c r="AA1161" s="22"/>
      <c r="AB1161" s="19">
        <f t="shared" si="416"/>
        <v>0</v>
      </c>
      <c r="AC1161" s="20"/>
      <c r="AD1161" s="19">
        <f t="shared" si="417"/>
        <v>0</v>
      </c>
    </row>
    <row r="1162" spans="1:30" ht="25.5">
      <c r="A1162" s="1">
        <v>136</v>
      </c>
      <c r="B1162" s="13"/>
      <c r="C1162" s="74"/>
      <c r="D1162" s="21" t="s">
        <v>2014</v>
      </c>
      <c r="E1162" s="204"/>
      <c r="F1162" s="204"/>
      <c r="G1162" s="535"/>
      <c r="H1162" s="89"/>
      <c r="I1162" s="193"/>
      <c r="J1162" s="15">
        <v>350856000</v>
      </c>
      <c r="K1162" s="15">
        <v>350856000</v>
      </c>
      <c r="L1162" s="57"/>
      <c r="M1162" s="20"/>
      <c r="N1162" s="49"/>
      <c r="O1162" s="401"/>
      <c r="P1162" s="401"/>
      <c r="Q1162" s="18"/>
      <c r="R1162" s="18"/>
      <c r="S1162" s="18"/>
      <c r="T1162" s="643"/>
      <c r="U1162" s="643"/>
      <c r="V1162" s="643"/>
      <c r="W1162" s="643"/>
      <c r="X1162" s="643"/>
      <c r="Y1162" s="20"/>
      <c r="Z1162" s="19"/>
      <c r="AA1162" s="22"/>
      <c r="AB1162" s="19">
        <f t="shared" si="416"/>
        <v>0</v>
      </c>
      <c r="AC1162" s="20"/>
      <c r="AD1162" s="19">
        <f t="shared" si="417"/>
        <v>0</v>
      </c>
    </row>
    <row r="1163" spans="1:30" ht="25.5">
      <c r="A1163" s="1">
        <v>137</v>
      </c>
      <c r="B1163" s="13"/>
      <c r="C1163" s="74"/>
      <c r="D1163" s="21" t="s">
        <v>2015</v>
      </c>
      <c r="E1163" s="204"/>
      <c r="F1163" s="204"/>
      <c r="G1163" s="535"/>
      <c r="H1163" s="89"/>
      <c r="I1163" s="193"/>
      <c r="J1163" s="15">
        <v>350856000</v>
      </c>
      <c r="K1163" s="15">
        <v>350856000</v>
      </c>
      <c r="L1163" s="57"/>
      <c r="M1163" s="20"/>
      <c r="N1163" s="49"/>
      <c r="O1163" s="401"/>
      <c r="P1163" s="401"/>
      <c r="Q1163" s="18"/>
      <c r="R1163" s="18"/>
      <c r="S1163" s="18"/>
      <c r="T1163" s="643"/>
      <c r="U1163" s="643"/>
      <c r="V1163" s="643"/>
      <c r="W1163" s="643"/>
      <c r="X1163" s="643"/>
      <c r="Y1163" s="20"/>
      <c r="Z1163" s="19"/>
      <c r="AA1163" s="22"/>
      <c r="AB1163" s="19">
        <f t="shared" si="416"/>
        <v>0</v>
      </c>
      <c r="AC1163" s="20"/>
      <c r="AD1163" s="19">
        <f t="shared" si="417"/>
        <v>0</v>
      </c>
    </row>
    <row r="1164" spans="1:30" ht="25.5">
      <c r="A1164" s="1">
        <v>138</v>
      </c>
      <c r="B1164" s="13"/>
      <c r="C1164" s="74"/>
      <c r="D1164" s="21" t="s">
        <v>2016</v>
      </c>
      <c r="E1164" s="204"/>
      <c r="F1164" s="204"/>
      <c r="G1164" s="535"/>
      <c r="H1164" s="89"/>
      <c r="I1164" s="193"/>
      <c r="J1164" s="15">
        <v>350867000</v>
      </c>
      <c r="K1164" s="15">
        <v>350867000</v>
      </c>
      <c r="L1164" s="57"/>
      <c r="M1164" s="20"/>
      <c r="N1164" s="49"/>
      <c r="O1164" s="401"/>
      <c r="P1164" s="401"/>
      <c r="Q1164" s="18"/>
      <c r="R1164" s="18"/>
      <c r="S1164" s="18"/>
      <c r="T1164" s="643"/>
      <c r="U1164" s="643"/>
      <c r="V1164" s="643"/>
      <c r="W1164" s="643"/>
      <c r="X1164" s="643"/>
      <c r="Y1164" s="20"/>
      <c r="Z1164" s="19"/>
      <c r="AA1164" s="22"/>
      <c r="AB1164" s="19">
        <f t="shared" si="416"/>
        <v>0</v>
      </c>
      <c r="AC1164" s="20"/>
      <c r="AD1164" s="19">
        <f t="shared" si="417"/>
        <v>0</v>
      </c>
    </row>
    <row r="1165" spans="1:30" ht="25.5">
      <c r="A1165" s="1">
        <v>139</v>
      </c>
      <c r="B1165" s="13"/>
      <c r="C1165" s="74"/>
      <c r="D1165" s="21" t="s">
        <v>2017</v>
      </c>
      <c r="E1165" s="204"/>
      <c r="F1165" s="204"/>
      <c r="G1165" s="535"/>
      <c r="H1165" s="89"/>
      <c r="I1165" s="193"/>
      <c r="J1165" s="15">
        <v>350856000</v>
      </c>
      <c r="K1165" s="15">
        <v>350856000</v>
      </c>
      <c r="L1165" s="57"/>
      <c r="M1165" s="20"/>
      <c r="N1165" s="49"/>
      <c r="O1165" s="401"/>
      <c r="P1165" s="401"/>
      <c r="Q1165" s="18"/>
      <c r="R1165" s="18"/>
      <c r="S1165" s="18"/>
      <c r="T1165" s="643"/>
      <c r="U1165" s="643"/>
      <c r="V1165" s="643"/>
      <c r="W1165" s="643"/>
      <c r="X1165" s="643"/>
      <c r="Y1165" s="20"/>
      <c r="Z1165" s="19"/>
      <c r="AA1165" s="22"/>
      <c r="AB1165" s="19">
        <f t="shared" si="416"/>
        <v>0</v>
      </c>
      <c r="AC1165" s="20"/>
      <c r="AD1165" s="19">
        <f t="shared" si="417"/>
        <v>0</v>
      </c>
    </row>
    <row r="1166" spans="1:30" ht="25.5">
      <c r="A1166" s="1">
        <v>140</v>
      </c>
      <c r="B1166" s="13"/>
      <c r="C1166" s="74"/>
      <c r="D1166" s="21" t="s">
        <v>2018</v>
      </c>
      <c r="E1166" s="204"/>
      <c r="F1166" s="204"/>
      <c r="G1166" s="535"/>
      <c r="H1166" s="89"/>
      <c r="I1166" s="193"/>
      <c r="J1166" s="15">
        <v>350856000</v>
      </c>
      <c r="K1166" s="15">
        <v>350856000</v>
      </c>
      <c r="L1166" s="57"/>
      <c r="M1166" s="20"/>
      <c r="N1166" s="49"/>
      <c r="O1166" s="401"/>
      <c r="P1166" s="401"/>
      <c r="Q1166" s="18"/>
      <c r="R1166" s="18"/>
      <c r="S1166" s="18"/>
      <c r="T1166" s="643"/>
      <c r="U1166" s="643"/>
      <c r="V1166" s="643"/>
      <c r="W1166" s="643"/>
      <c r="X1166" s="643"/>
      <c r="Y1166" s="20"/>
      <c r="Z1166" s="19"/>
      <c r="AA1166" s="22"/>
      <c r="AB1166" s="19">
        <f t="shared" si="416"/>
        <v>0</v>
      </c>
      <c r="AC1166" s="20"/>
      <c r="AD1166" s="19">
        <f t="shared" si="417"/>
        <v>0</v>
      </c>
    </row>
    <row r="1167" spans="1:30" ht="38.25">
      <c r="A1167" s="1">
        <v>141</v>
      </c>
      <c r="B1167" s="13">
        <f>B1160+1</f>
        <v>122</v>
      </c>
      <c r="C1167" s="74" t="s">
        <v>279</v>
      </c>
      <c r="D1167" s="21" t="s">
        <v>537</v>
      </c>
      <c r="E1167" s="204"/>
      <c r="F1167" s="204">
        <v>1</v>
      </c>
      <c r="G1167" s="535" t="s">
        <v>1845</v>
      </c>
      <c r="H1167" s="89"/>
      <c r="I1167" s="193"/>
      <c r="J1167" s="15">
        <v>3285308000</v>
      </c>
      <c r="K1167" s="15">
        <v>3285308000</v>
      </c>
      <c r="L1167" s="57"/>
      <c r="M1167" s="20"/>
      <c r="N1167" s="49"/>
      <c r="O1167" s="401"/>
      <c r="P1167" s="401"/>
      <c r="Q1167" s="18"/>
      <c r="R1167" s="18"/>
      <c r="S1167" s="18"/>
      <c r="T1167" s="643"/>
      <c r="U1167" s="643"/>
      <c r="V1167" s="643"/>
      <c r="W1167" s="643"/>
      <c r="X1167" s="643"/>
      <c r="Y1167" s="147">
        <v>100</v>
      </c>
      <c r="Z1167" s="147">
        <v>100</v>
      </c>
      <c r="AA1167" s="192">
        <v>2547187900</v>
      </c>
      <c r="AB1167" s="147">
        <f t="shared" si="416"/>
        <v>77.53269708654409</v>
      </c>
      <c r="AC1167" s="244">
        <f>AA1167</f>
        <v>2547187900</v>
      </c>
      <c r="AD1167" s="147">
        <f t="shared" si="417"/>
        <v>77.53269708654409</v>
      </c>
    </row>
    <row r="1168" spans="1:30" ht="51">
      <c r="A1168" s="1">
        <v>142</v>
      </c>
      <c r="B1168" s="13"/>
      <c r="C1168" s="74"/>
      <c r="D1168" s="21" t="s">
        <v>2019</v>
      </c>
      <c r="E1168" s="204"/>
      <c r="F1168" s="204"/>
      <c r="G1168" s="535"/>
      <c r="H1168" s="89"/>
      <c r="I1168" s="193"/>
      <c r="J1168" s="15">
        <v>190000000</v>
      </c>
      <c r="K1168" s="15">
        <v>190000000</v>
      </c>
      <c r="L1168" s="107" t="s">
        <v>2002</v>
      </c>
      <c r="M1168" s="20">
        <v>189835000</v>
      </c>
      <c r="N1168" s="49" t="s">
        <v>1947</v>
      </c>
      <c r="O1168" s="401" t="s">
        <v>1995</v>
      </c>
      <c r="P1168" s="401" t="s">
        <v>2035</v>
      </c>
      <c r="Q1168" s="18"/>
      <c r="R1168" s="18"/>
      <c r="S1168" s="18"/>
      <c r="T1168" s="643"/>
      <c r="U1168" s="643"/>
      <c r="V1168" s="643"/>
      <c r="W1168" s="643"/>
      <c r="X1168" s="643"/>
      <c r="Y1168" s="19">
        <v>100</v>
      </c>
      <c r="Z1168" s="19">
        <v>100</v>
      </c>
      <c r="AA1168" s="22">
        <v>180262500</v>
      </c>
      <c r="AB1168" s="19">
        <f t="shared" si="416"/>
        <v>94.875</v>
      </c>
      <c r="AC1168" s="20">
        <f>AA1168</f>
        <v>180262500</v>
      </c>
      <c r="AD1168" s="19">
        <f t="shared" si="417"/>
        <v>94.875</v>
      </c>
    </row>
    <row r="1169" spans="1:30" ht="51">
      <c r="A1169" s="1">
        <v>143</v>
      </c>
      <c r="B1169" s="13"/>
      <c r="C1169" s="74"/>
      <c r="D1169" s="21" t="s">
        <v>2020</v>
      </c>
      <c r="E1169" s="204"/>
      <c r="F1169" s="204"/>
      <c r="G1169" s="535"/>
      <c r="H1169" s="89"/>
      <c r="I1169" s="193"/>
      <c r="J1169" s="15">
        <v>172444000</v>
      </c>
      <c r="K1169" s="15">
        <v>172444000</v>
      </c>
      <c r="L1169" s="107" t="s">
        <v>2002</v>
      </c>
      <c r="M1169" s="20">
        <v>172172000</v>
      </c>
      <c r="N1169" s="49" t="s">
        <v>2031</v>
      </c>
      <c r="O1169" s="401" t="s">
        <v>1995</v>
      </c>
      <c r="P1169" s="401" t="s">
        <v>2035</v>
      </c>
      <c r="Q1169" s="18"/>
      <c r="R1169" s="18"/>
      <c r="S1169" s="18"/>
      <c r="T1169" s="643"/>
      <c r="U1169" s="643"/>
      <c r="V1169" s="643"/>
      <c r="W1169" s="643"/>
      <c r="X1169" s="643"/>
      <c r="Y1169" s="19">
        <v>100</v>
      </c>
      <c r="Z1169" s="19">
        <v>100</v>
      </c>
      <c r="AA1169" s="22">
        <v>120520400</v>
      </c>
      <c r="AB1169" s="19">
        <f t="shared" si="416"/>
        <v>69.889587344297283</v>
      </c>
      <c r="AC1169" s="20">
        <f t="shared" ref="AC1169:AC1179" si="418">AA1169</f>
        <v>120520400</v>
      </c>
      <c r="AD1169" s="19">
        <f t="shared" si="417"/>
        <v>69.889587344297283</v>
      </c>
    </row>
    <row r="1170" spans="1:30" ht="25.5">
      <c r="A1170" s="1">
        <v>144</v>
      </c>
      <c r="B1170" s="13"/>
      <c r="C1170" s="74"/>
      <c r="D1170" s="21" t="s">
        <v>2021</v>
      </c>
      <c r="E1170" s="204"/>
      <c r="F1170" s="204"/>
      <c r="G1170" s="535"/>
      <c r="H1170" s="89"/>
      <c r="I1170" s="193"/>
      <c r="J1170" s="15">
        <v>257333000</v>
      </c>
      <c r="K1170" s="15">
        <v>257333000</v>
      </c>
      <c r="L1170" s="57"/>
      <c r="M1170" s="20">
        <v>200000000</v>
      </c>
      <c r="N1170" s="49" t="s">
        <v>1945</v>
      </c>
      <c r="O1170" s="401"/>
      <c r="P1170" s="401"/>
      <c r="Q1170" s="18"/>
      <c r="R1170" s="18"/>
      <c r="S1170" s="18" t="s">
        <v>1458</v>
      </c>
      <c r="T1170" s="643">
        <v>1</v>
      </c>
      <c r="U1170" s="643"/>
      <c r="V1170" s="643">
        <v>1</v>
      </c>
      <c r="W1170" s="643"/>
      <c r="X1170" s="643"/>
      <c r="Y1170" s="114">
        <v>100</v>
      </c>
      <c r="Z1170" s="19">
        <v>100</v>
      </c>
      <c r="AA1170" s="22">
        <v>150000000</v>
      </c>
      <c r="AB1170" s="19">
        <f t="shared" si="416"/>
        <v>58.290230945895004</v>
      </c>
      <c r="AC1170" s="20">
        <f t="shared" si="418"/>
        <v>150000000</v>
      </c>
      <c r="AD1170" s="19">
        <f t="shared" si="417"/>
        <v>58.290230945895004</v>
      </c>
    </row>
    <row r="1171" spans="1:30" ht="63.75">
      <c r="A1171" s="1">
        <v>145</v>
      </c>
      <c r="B1171" s="13"/>
      <c r="C1171" s="74"/>
      <c r="D1171" s="21" t="s">
        <v>2022</v>
      </c>
      <c r="E1171" s="204"/>
      <c r="F1171" s="204"/>
      <c r="G1171" s="535"/>
      <c r="H1171" s="89"/>
      <c r="I1171" s="193"/>
      <c r="J1171" s="15">
        <v>270150000</v>
      </c>
      <c r="K1171" s="15">
        <v>270150000</v>
      </c>
      <c r="L1171" s="57"/>
      <c r="M1171" s="20">
        <v>207450000</v>
      </c>
      <c r="N1171" s="49" t="s">
        <v>2032</v>
      </c>
      <c r="O1171" s="401" t="s">
        <v>2036</v>
      </c>
      <c r="P1171" s="401" t="s">
        <v>2037</v>
      </c>
      <c r="Q1171" s="18"/>
      <c r="R1171" s="18"/>
      <c r="S1171" s="18" t="s">
        <v>1458</v>
      </c>
      <c r="T1171" s="643">
        <v>1</v>
      </c>
      <c r="U1171" s="643"/>
      <c r="V1171" s="643">
        <v>1</v>
      </c>
      <c r="W1171" s="643"/>
      <c r="X1171" s="643"/>
      <c r="Y1171" s="114">
        <v>100</v>
      </c>
      <c r="Z1171" s="19">
        <v>100</v>
      </c>
      <c r="AA1171" s="22">
        <v>155587500</v>
      </c>
      <c r="AB1171" s="19">
        <f t="shared" si="416"/>
        <v>57.593003886729598</v>
      </c>
      <c r="AC1171" s="20">
        <f t="shared" si="418"/>
        <v>155587500</v>
      </c>
      <c r="AD1171" s="19">
        <f t="shared" si="417"/>
        <v>57.593003886729598</v>
      </c>
    </row>
    <row r="1172" spans="1:30" ht="63.75">
      <c r="A1172" s="1">
        <v>146</v>
      </c>
      <c r="B1172" s="13"/>
      <c r="C1172" s="74"/>
      <c r="D1172" s="21" t="s">
        <v>2023</v>
      </c>
      <c r="E1172" s="204"/>
      <c r="F1172" s="204"/>
      <c r="G1172" s="535"/>
      <c r="H1172" s="89"/>
      <c r="I1172" s="193"/>
      <c r="J1172" s="15">
        <v>272222000</v>
      </c>
      <c r="K1172" s="15">
        <v>272222000</v>
      </c>
      <c r="L1172" s="57"/>
      <c r="M1172" s="20">
        <v>208534000</v>
      </c>
      <c r="N1172" s="49" t="s">
        <v>2032</v>
      </c>
      <c r="O1172" s="401" t="s">
        <v>2036</v>
      </c>
      <c r="P1172" s="401" t="s">
        <v>2037</v>
      </c>
      <c r="Q1172" s="18"/>
      <c r="R1172" s="18"/>
      <c r="S1172" s="18" t="s">
        <v>1458</v>
      </c>
      <c r="T1172" s="643">
        <v>1</v>
      </c>
      <c r="U1172" s="643"/>
      <c r="V1172" s="643">
        <v>1</v>
      </c>
      <c r="W1172" s="643"/>
      <c r="X1172" s="643"/>
      <c r="Y1172" s="114">
        <v>100</v>
      </c>
      <c r="Z1172" s="19">
        <v>100</v>
      </c>
      <c r="AA1172" s="22">
        <v>156400500</v>
      </c>
      <c r="AB1172" s="19">
        <f t="shared" si="416"/>
        <v>57.453291798605555</v>
      </c>
      <c r="AC1172" s="20">
        <f t="shared" si="418"/>
        <v>156400500</v>
      </c>
      <c r="AD1172" s="19">
        <f t="shared" si="417"/>
        <v>57.453291798605555</v>
      </c>
    </row>
    <row r="1173" spans="1:30" ht="63.75">
      <c r="A1173" s="1">
        <v>147</v>
      </c>
      <c r="B1173" s="13"/>
      <c r="C1173" s="74"/>
      <c r="D1173" s="21" t="s">
        <v>2024</v>
      </c>
      <c r="E1173" s="204"/>
      <c r="F1173" s="204"/>
      <c r="G1173" s="535"/>
      <c r="H1173" s="89"/>
      <c r="I1173" s="193"/>
      <c r="J1173" s="15">
        <v>265880000</v>
      </c>
      <c r="K1173" s="15">
        <v>265880000</v>
      </c>
      <c r="L1173" s="57"/>
      <c r="M1173" s="20">
        <v>206900000</v>
      </c>
      <c r="N1173" s="49" t="s">
        <v>2032</v>
      </c>
      <c r="O1173" s="401" t="s">
        <v>2036</v>
      </c>
      <c r="P1173" s="401" t="s">
        <v>2037</v>
      </c>
      <c r="Q1173" s="18"/>
      <c r="R1173" s="18"/>
      <c r="S1173" s="18" t="s">
        <v>1458</v>
      </c>
      <c r="T1173" s="643">
        <v>1</v>
      </c>
      <c r="U1173" s="643"/>
      <c r="V1173" s="643">
        <v>1</v>
      </c>
      <c r="W1173" s="643"/>
      <c r="X1173" s="643"/>
      <c r="Y1173" s="20">
        <v>100</v>
      </c>
      <c r="Z1173" s="19">
        <v>100</v>
      </c>
      <c r="AA1173" s="22">
        <v>155175000</v>
      </c>
      <c r="AB1173" s="19">
        <f t="shared" si="416"/>
        <v>58.362795245975633</v>
      </c>
      <c r="AC1173" s="20">
        <f t="shared" si="418"/>
        <v>155175000</v>
      </c>
      <c r="AD1173" s="19">
        <f t="shared" si="417"/>
        <v>58.362795245975633</v>
      </c>
    </row>
    <row r="1174" spans="1:30" ht="51">
      <c r="A1174" s="1">
        <v>148</v>
      </c>
      <c r="B1174" s="13"/>
      <c r="C1174" s="74"/>
      <c r="D1174" s="21" t="s">
        <v>2025</v>
      </c>
      <c r="E1174" s="204"/>
      <c r="F1174" s="204"/>
      <c r="G1174" s="535"/>
      <c r="H1174" s="89"/>
      <c r="I1174" s="193"/>
      <c r="J1174" s="15">
        <v>274777000</v>
      </c>
      <c r="K1174" s="15">
        <v>274777000</v>
      </c>
      <c r="L1174" s="57"/>
      <c r="M1174" s="20">
        <v>215000000</v>
      </c>
      <c r="N1174" s="49" t="s">
        <v>1947</v>
      </c>
      <c r="O1174" s="401" t="s">
        <v>2036</v>
      </c>
      <c r="P1174" s="401" t="s">
        <v>2037</v>
      </c>
      <c r="Q1174" s="18"/>
      <c r="R1174" s="18"/>
      <c r="S1174" s="18" t="s">
        <v>1458</v>
      </c>
      <c r="T1174" s="643">
        <v>1</v>
      </c>
      <c r="U1174" s="643"/>
      <c r="V1174" s="643">
        <v>1</v>
      </c>
      <c r="W1174" s="643"/>
      <c r="X1174" s="643"/>
      <c r="Y1174" s="20">
        <v>100</v>
      </c>
      <c r="Z1174" s="19">
        <v>100</v>
      </c>
      <c r="AA1174" s="22">
        <v>204250000</v>
      </c>
      <c r="AB1174" s="19">
        <f t="shared" si="416"/>
        <v>74.333004581897328</v>
      </c>
      <c r="AC1174" s="20">
        <f t="shared" si="418"/>
        <v>204250000</v>
      </c>
      <c r="AD1174" s="19">
        <f t="shared" si="417"/>
        <v>74.333004581897328</v>
      </c>
    </row>
    <row r="1175" spans="1:30" ht="51">
      <c r="A1175" s="1">
        <v>149</v>
      </c>
      <c r="B1175" s="13"/>
      <c r="C1175" s="74"/>
      <c r="D1175" s="21" t="s">
        <v>2026</v>
      </c>
      <c r="E1175" s="204"/>
      <c r="F1175" s="204"/>
      <c r="G1175" s="535"/>
      <c r="H1175" s="89"/>
      <c r="I1175" s="193"/>
      <c r="J1175" s="15">
        <v>304666000</v>
      </c>
      <c r="K1175" s="15">
        <v>304666000</v>
      </c>
      <c r="L1175" s="57"/>
      <c r="M1175" s="20">
        <v>239006000</v>
      </c>
      <c r="N1175" s="49" t="s">
        <v>1947</v>
      </c>
      <c r="O1175" s="401" t="s">
        <v>2036</v>
      </c>
      <c r="P1175" s="401" t="s">
        <v>2037</v>
      </c>
      <c r="Q1175" s="18"/>
      <c r="R1175" s="18"/>
      <c r="S1175" s="18" t="s">
        <v>1458</v>
      </c>
      <c r="T1175" s="643">
        <v>1</v>
      </c>
      <c r="U1175" s="643"/>
      <c r="V1175" s="643">
        <v>1</v>
      </c>
      <c r="W1175" s="643"/>
      <c r="X1175" s="643"/>
      <c r="Y1175" s="20">
        <v>100</v>
      </c>
      <c r="Z1175" s="19">
        <v>100</v>
      </c>
      <c r="AA1175" s="22">
        <v>227055700</v>
      </c>
      <c r="AB1175" s="19">
        <f t="shared" si="416"/>
        <v>74.526103995851187</v>
      </c>
      <c r="AC1175" s="20">
        <f t="shared" si="418"/>
        <v>227055700</v>
      </c>
      <c r="AD1175" s="19">
        <f t="shared" si="417"/>
        <v>74.526103995851187</v>
      </c>
    </row>
    <row r="1176" spans="1:30" ht="25.5">
      <c r="A1176" s="1">
        <v>150</v>
      </c>
      <c r="B1176" s="13"/>
      <c r="C1176" s="74"/>
      <c r="D1176" s="21" t="s">
        <v>2027</v>
      </c>
      <c r="E1176" s="204"/>
      <c r="F1176" s="204"/>
      <c r="G1176" s="535"/>
      <c r="H1176" s="89"/>
      <c r="I1176" s="193"/>
      <c r="J1176" s="15">
        <v>325999000</v>
      </c>
      <c r="K1176" s="15">
        <v>325999000</v>
      </c>
      <c r="L1176" s="57"/>
      <c r="M1176" s="20">
        <v>263700000</v>
      </c>
      <c r="N1176" s="49" t="s">
        <v>2033</v>
      </c>
      <c r="O1176" s="401" t="s">
        <v>2036</v>
      </c>
      <c r="P1176" s="401" t="s">
        <v>2037</v>
      </c>
      <c r="Q1176" s="18"/>
      <c r="R1176" s="18"/>
      <c r="S1176" s="18" t="s">
        <v>1458</v>
      </c>
      <c r="T1176" s="643">
        <v>1</v>
      </c>
      <c r="U1176" s="643"/>
      <c r="V1176" s="643">
        <v>1</v>
      </c>
      <c r="W1176" s="643"/>
      <c r="X1176" s="643"/>
      <c r="Y1176" s="20">
        <v>100</v>
      </c>
      <c r="Z1176" s="19">
        <v>100</v>
      </c>
      <c r="AA1176" s="22">
        <v>250515000</v>
      </c>
      <c r="AB1176" s="19">
        <f t="shared" si="416"/>
        <v>76.845327746404138</v>
      </c>
      <c r="AC1176" s="20">
        <f t="shared" si="418"/>
        <v>250515000</v>
      </c>
      <c r="AD1176" s="19">
        <f t="shared" si="417"/>
        <v>76.845327746404138</v>
      </c>
    </row>
    <row r="1177" spans="1:30" ht="38.25">
      <c r="A1177" s="1">
        <v>151</v>
      </c>
      <c r="B1177" s="13"/>
      <c r="C1177" s="74"/>
      <c r="D1177" s="21" t="s">
        <v>2028</v>
      </c>
      <c r="E1177" s="204"/>
      <c r="F1177" s="204"/>
      <c r="G1177" s="535"/>
      <c r="H1177" s="89"/>
      <c r="I1177" s="193"/>
      <c r="J1177" s="15">
        <v>288888000</v>
      </c>
      <c r="K1177" s="15">
        <v>288888000</v>
      </c>
      <c r="L1177" s="57"/>
      <c r="M1177" s="20">
        <v>230830000</v>
      </c>
      <c r="N1177" s="49" t="s">
        <v>2034</v>
      </c>
      <c r="O1177" s="401" t="s">
        <v>2036</v>
      </c>
      <c r="P1177" s="401" t="s">
        <v>2037</v>
      </c>
      <c r="Q1177" s="18"/>
      <c r="R1177" s="18"/>
      <c r="S1177" s="18" t="s">
        <v>1458</v>
      </c>
      <c r="T1177" s="643">
        <v>1</v>
      </c>
      <c r="U1177" s="643"/>
      <c r="V1177" s="643">
        <v>1</v>
      </c>
      <c r="W1177" s="643"/>
      <c r="X1177" s="643"/>
      <c r="Y1177" s="20">
        <v>100</v>
      </c>
      <c r="Z1177" s="19">
        <v>100</v>
      </c>
      <c r="AA1177" s="22">
        <v>173122500</v>
      </c>
      <c r="AB1177" s="19">
        <f t="shared" si="416"/>
        <v>59.927203622164996</v>
      </c>
      <c r="AC1177" s="20">
        <f t="shared" si="418"/>
        <v>173122500</v>
      </c>
      <c r="AD1177" s="19">
        <f t="shared" si="417"/>
        <v>59.927203622164996</v>
      </c>
    </row>
    <row r="1178" spans="1:30" ht="25.5">
      <c r="A1178" s="1">
        <v>152</v>
      </c>
      <c r="B1178" s="13"/>
      <c r="C1178" s="74"/>
      <c r="D1178" s="21" t="s">
        <v>2029</v>
      </c>
      <c r="E1178" s="204"/>
      <c r="F1178" s="204"/>
      <c r="G1178" s="535"/>
      <c r="H1178" s="89"/>
      <c r="I1178" s="193"/>
      <c r="J1178" s="15">
        <v>190333000</v>
      </c>
      <c r="K1178" s="15">
        <v>190333000</v>
      </c>
      <c r="L1178" s="57"/>
      <c r="M1178" s="20">
        <v>189900000</v>
      </c>
      <c r="N1178" s="49" t="s">
        <v>2033</v>
      </c>
      <c r="O1178" s="401" t="s">
        <v>1995</v>
      </c>
      <c r="P1178" s="401" t="s">
        <v>2035</v>
      </c>
      <c r="Q1178" s="18"/>
      <c r="R1178" s="18"/>
      <c r="S1178" s="18"/>
      <c r="T1178" s="643"/>
      <c r="U1178" s="643"/>
      <c r="V1178" s="643"/>
      <c r="W1178" s="643"/>
      <c r="X1178" s="643"/>
      <c r="Y1178" s="20">
        <v>100</v>
      </c>
      <c r="Z1178" s="19">
        <v>100</v>
      </c>
      <c r="AA1178" s="22">
        <v>180405000</v>
      </c>
      <c r="AB1178" s="19">
        <f t="shared" si="416"/>
        <v>94.783878780873522</v>
      </c>
      <c r="AC1178" s="20">
        <f t="shared" si="418"/>
        <v>180405000</v>
      </c>
      <c r="AD1178" s="19">
        <f t="shared" si="417"/>
        <v>94.783878780873522</v>
      </c>
    </row>
    <row r="1179" spans="1:30" ht="25.5">
      <c r="A1179" s="1">
        <v>153</v>
      </c>
      <c r="B1179" s="13"/>
      <c r="C1179" s="74"/>
      <c r="D1179" s="21" t="s">
        <v>2030</v>
      </c>
      <c r="E1179" s="204"/>
      <c r="F1179" s="204"/>
      <c r="G1179" s="535"/>
      <c r="H1179" s="89"/>
      <c r="I1179" s="193"/>
      <c r="J1179" s="15">
        <v>329777000</v>
      </c>
      <c r="K1179" s="15">
        <v>329777000</v>
      </c>
      <c r="L1179" s="57"/>
      <c r="M1179" s="20">
        <v>266500000</v>
      </c>
      <c r="N1179" s="49" t="s">
        <v>2033</v>
      </c>
      <c r="O1179" s="401" t="s">
        <v>2036</v>
      </c>
      <c r="P1179" s="401" t="s">
        <v>2037</v>
      </c>
      <c r="Q1179" s="18"/>
      <c r="R1179" s="18"/>
      <c r="S1179" s="18" t="s">
        <v>1458</v>
      </c>
      <c r="T1179" s="643">
        <v>1</v>
      </c>
      <c r="U1179" s="643"/>
      <c r="V1179" s="643">
        <v>1</v>
      </c>
      <c r="W1179" s="643"/>
      <c r="X1179" s="643"/>
      <c r="Y1179" s="20">
        <v>100</v>
      </c>
      <c r="Z1179" s="19">
        <v>100</v>
      </c>
      <c r="AA1179" s="22">
        <v>253175000</v>
      </c>
      <c r="AB1179" s="19">
        <f t="shared" si="416"/>
        <v>76.771575943743798</v>
      </c>
      <c r="AC1179" s="20">
        <f t="shared" si="418"/>
        <v>253175000</v>
      </c>
      <c r="AD1179" s="19">
        <f t="shared" si="417"/>
        <v>76.771575943743798</v>
      </c>
    </row>
    <row r="1180" spans="1:30" ht="25.5">
      <c r="A1180" s="1">
        <v>154</v>
      </c>
      <c r="B1180" s="13">
        <f>B1167+1</f>
        <v>123</v>
      </c>
      <c r="C1180" s="74" t="s">
        <v>285</v>
      </c>
      <c r="D1180" s="21" t="s">
        <v>538</v>
      </c>
      <c r="E1180" s="204"/>
      <c r="F1180" s="204">
        <v>1</v>
      </c>
      <c r="G1180" s="535" t="s">
        <v>1845</v>
      </c>
      <c r="H1180" s="89"/>
      <c r="I1180" s="193"/>
      <c r="J1180" s="15">
        <v>18500000</v>
      </c>
      <c r="K1180" s="15">
        <v>18500000</v>
      </c>
      <c r="L1180" s="57"/>
      <c r="M1180" s="20"/>
      <c r="N1180" s="408"/>
      <c r="O1180" s="410"/>
      <c r="P1180" s="410"/>
      <c r="Q1180" s="412"/>
      <c r="R1180" s="412"/>
      <c r="S1180" s="412"/>
      <c r="T1180" s="645"/>
      <c r="U1180" s="645"/>
      <c r="V1180" s="645"/>
      <c r="W1180" s="645"/>
      <c r="X1180" s="645"/>
      <c r="Y1180" s="20">
        <v>100</v>
      </c>
      <c r="Z1180" s="19">
        <v>100</v>
      </c>
      <c r="AA1180" s="22">
        <v>0</v>
      </c>
      <c r="AB1180" s="19">
        <f t="shared" si="416"/>
        <v>0</v>
      </c>
      <c r="AC1180" s="20">
        <f>AA1180</f>
        <v>0</v>
      </c>
      <c r="AD1180" s="19">
        <f t="shared" si="417"/>
        <v>0</v>
      </c>
    </row>
    <row r="1181" spans="1:30" ht="25.5">
      <c r="A1181" s="1">
        <v>155</v>
      </c>
      <c r="B1181" s="166">
        <f t="shared" si="415"/>
        <v>124</v>
      </c>
      <c r="C1181" s="74" t="s">
        <v>287</v>
      </c>
      <c r="D1181" s="21" t="s">
        <v>539</v>
      </c>
      <c r="E1181" s="204"/>
      <c r="F1181" s="204">
        <v>1</v>
      </c>
      <c r="G1181" s="535" t="s">
        <v>1845</v>
      </c>
      <c r="H1181" s="89"/>
      <c r="I1181" s="193"/>
      <c r="J1181" s="15">
        <v>6667630000</v>
      </c>
      <c r="K1181" s="25">
        <v>370000000</v>
      </c>
      <c r="L1181" s="57"/>
      <c r="M1181" s="20"/>
      <c r="N1181" s="413"/>
      <c r="O1181" s="410"/>
      <c r="P1181" s="410"/>
      <c r="Q1181" s="412"/>
      <c r="R1181" s="412"/>
      <c r="S1181" s="412"/>
      <c r="T1181" s="645"/>
      <c r="U1181" s="645"/>
      <c r="V1181" s="645"/>
      <c r="W1181" s="645"/>
      <c r="X1181" s="645"/>
      <c r="Y1181" s="461">
        <v>100</v>
      </c>
      <c r="Z1181" s="461">
        <v>100</v>
      </c>
      <c r="AA1181" s="22">
        <v>3883000</v>
      </c>
      <c r="AB1181" s="19">
        <f t="shared" si="416"/>
        <v>1.0494594594594595</v>
      </c>
      <c r="AC1181" s="20">
        <f>AA1181</f>
        <v>3883000</v>
      </c>
      <c r="AD1181" s="19">
        <f t="shared" si="417"/>
        <v>1.0494594594594595</v>
      </c>
    </row>
    <row r="1182" spans="1:30" ht="25.5">
      <c r="A1182" s="1">
        <v>156</v>
      </c>
      <c r="B1182" s="166"/>
      <c r="C1182" s="86" t="s">
        <v>540</v>
      </c>
      <c r="D1182" s="14" t="s">
        <v>541</v>
      </c>
      <c r="E1182" s="204"/>
      <c r="F1182" s="204"/>
      <c r="G1182" s="535"/>
      <c r="H1182" s="89"/>
      <c r="I1182" s="193"/>
      <c r="J1182" s="15"/>
      <c r="K1182" s="25"/>
      <c r="L1182" s="57"/>
      <c r="M1182" s="20"/>
      <c r="N1182" s="413"/>
      <c r="O1182" s="410"/>
      <c r="P1182" s="410"/>
      <c r="Q1182" s="412"/>
      <c r="R1182" s="412"/>
      <c r="S1182" s="412"/>
      <c r="T1182" s="645"/>
      <c r="U1182" s="645"/>
      <c r="V1182" s="645"/>
      <c r="W1182" s="645"/>
      <c r="X1182" s="645"/>
      <c r="Y1182" s="20"/>
      <c r="Z1182" s="19"/>
      <c r="AA1182" s="22"/>
      <c r="AB1182" s="19"/>
      <c r="AC1182" s="20"/>
      <c r="AD1182" s="19"/>
    </row>
    <row r="1183" spans="1:30" ht="36">
      <c r="A1183" s="1">
        <v>157</v>
      </c>
      <c r="B1183" s="166">
        <f>B1181+1</f>
        <v>125</v>
      </c>
      <c r="C1183" s="81">
        <v>20.04</v>
      </c>
      <c r="D1183" s="21" t="s">
        <v>1844</v>
      </c>
      <c r="E1183" s="204"/>
      <c r="F1183" s="204">
        <v>1</v>
      </c>
      <c r="G1183" s="535" t="s">
        <v>1845</v>
      </c>
      <c r="H1183" s="89"/>
      <c r="I1183" s="193"/>
      <c r="J1183" s="15">
        <v>500000000</v>
      </c>
      <c r="K1183" s="721">
        <v>500000000</v>
      </c>
      <c r="L1183" s="57"/>
      <c r="M1183" s="20">
        <v>431177000</v>
      </c>
      <c r="N1183" s="413" t="s">
        <v>2060</v>
      </c>
      <c r="O1183" s="410"/>
      <c r="P1183" s="410"/>
      <c r="Q1183" s="412"/>
      <c r="R1183" s="412"/>
      <c r="S1183" s="412" t="s">
        <v>1458</v>
      </c>
      <c r="T1183" s="646">
        <v>1</v>
      </c>
      <c r="U1183" s="646"/>
      <c r="V1183" s="646">
        <v>1</v>
      </c>
      <c r="W1183" s="645"/>
      <c r="X1183" s="645"/>
      <c r="Y1183" s="20">
        <v>100</v>
      </c>
      <c r="Z1183" s="19">
        <v>100</v>
      </c>
      <c r="AA1183" s="22">
        <v>431177000</v>
      </c>
      <c r="AB1183" s="19">
        <f t="shared" si="416"/>
        <v>86.235399999999998</v>
      </c>
      <c r="AC1183" s="20">
        <f>AA1183</f>
        <v>431177000</v>
      </c>
      <c r="AD1183" s="19">
        <f t="shared" si="417"/>
        <v>86.235399999999998</v>
      </c>
    </row>
    <row r="1184" spans="1:30" ht="25.5">
      <c r="A1184" s="1">
        <v>158</v>
      </c>
      <c r="B1184" s="166">
        <f>B1183+1</f>
        <v>126</v>
      </c>
      <c r="C1184" s="81">
        <v>20.05</v>
      </c>
      <c r="D1184" s="21" t="s">
        <v>542</v>
      </c>
      <c r="E1184" s="204"/>
      <c r="F1184" s="204">
        <v>1</v>
      </c>
      <c r="G1184" s="535" t="s">
        <v>1845</v>
      </c>
      <c r="H1184" s="89"/>
      <c r="I1184" s="193"/>
      <c r="J1184" s="15">
        <v>50000000</v>
      </c>
      <c r="K1184" s="721">
        <v>50000000</v>
      </c>
      <c r="L1184" s="57"/>
      <c r="M1184" s="20"/>
      <c r="N1184" s="413"/>
      <c r="O1184" s="410"/>
      <c r="P1184" s="410"/>
      <c r="Q1184" s="412"/>
      <c r="R1184" s="412"/>
      <c r="S1184" s="412"/>
      <c r="T1184" s="645"/>
      <c r="U1184" s="645"/>
      <c r="V1184" s="645"/>
      <c r="W1184" s="645"/>
      <c r="X1184" s="645"/>
      <c r="Y1184" s="20">
        <v>100</v>
      </c>
      <c r="Z1184" s="19">
        <v>100</v>
      </c>
      <c r="AA1184" s="22">
        <v>9873000</v>
      </c>
      <c r="AB1184" s="19">
        <f t="shared" si="416"/>
        <v>19.745999999999999</v>
      </c>
      <c r="AC1184" s="20">
        <f>AA1184</f>
        <v>9873000</v>
      </c>
      <c r="AD1184" s="19">
        <f t="shared" si="417"/>
        <v>19.745999999999999</v>
      </c>
    </row>
    <row r="1185" spans="1:30" ht="27">
      <c r="A1185" s="1">
        <v>159</v>
      </c>
      <c r="B1185" s="13"/>
      <c r="C1185" s="86" t="s">
        <v>543</v>
      </c>
      <c r="D1185" s="86" t="s">
        <v>544</v>
      </c>
      <c r="E1185" s="485"/>
      <c r="F1185" s="204"/>
      <c r="G1185" s="535"/>
      <c r="H1185" s="87"/>
      <c r="I1185" s="441"/>
      <c r="J1185" s="130"/>
      <c r="K1185" s="130"/>
      <c r="L1185" s="13"/>
      <c r="M1185" s="17"/>
      <c r="N1185" s="17"/>
      <c r="O1185" s="17"/>
      <c r="P1185" s="17"/>
      <c r="Q1185" s="17"/>
      <c r="R1185" s="17"/>
      <c r="S1185" s="17"/>
      <c r="T1185" s="124"/>
      <c r="U1185" s="124"/>
      <c r="V1185" s="124"/>
      <c r="W1185" s="124"/>
      <c r="X1185" s="124"/>
      <c r="Y1185" s="17"/>
      <c r="Z1185" s="19"/>
      <c r="AA1185" s="22"/>
      <c r="AB1185" s="19"/>
      <c r="AC1185" s="20"/>
      <c r="AD1185" s="19"/>
    </row>
    <row r="1186" spans="1:30">
      <c r="A1186" s="1">
        <v>160</v>
      </c>
      <c r="B1186" s="13">
        <f>B1184+1</f>
        <v>127</v>
      </c>
      <c r="C1186" s="74" t="s">
        <v>349</v>
      </c>
      <c r="D1186" s="21" t="s">
        <v>545</v>
      </c>
      <c r="E1186" s="204"/>
      <c r="F1186" s="204">
        <v>1</v>
      </c>
      <c r="G1186" s="535" t="s">
        <v>1845</v>
      </c>
      <c r="H1186" s="89"/>
      <c r="I1186" s="193"/>
      <c r="J1186" s="15">
        <v>62900000</v>
      </c>
      <c r="K1186" s="25">
        <v>66783000</v>
      </c>
      <c r="L1186" s="25"/>
      <c r="M1186" s="17"/>
      <c r="N1186" s="17"/>
      <c r="O1186" s="17"/>
      <c r="P1186" s="17"/>
      <c r="Q1186" s="17"/>
      <c r="R1186" s="17"/>
      <c r="S1186" s="17"/>
      <c r="T1186" s="124"/>
      <c r="U1186" s="124"/>
      <c r="V1186" s="124"/>
      <c r="W1186" s="124"/>
      <c r="X1186" s="124"/>
      <c r="Y1186" s="17">
        <v>100</v>
      </c>
      <c r="Z1186" s="19">
        <v>100</v>
      </c>
      <c r="AA1186" s="22">
        <v>62495200</v>
      </c>
      <c r="AB1186" s="19">
        <f t="shared" si="416"/>
        <v>93.57950376592845</v>
      </c>
      <c r="AC1186" s="20">
        <f t="shared" ref="AC1186:AC1207" si="419">AA1186</f>
        <v>62495200</v>
      </c>
      <c r="AD1186" s="19">
        <f t="shared" si="417"/>
        <v>93.57950376592845</v>
      </c>
    </row>
    <row r="1187" spans="1:30" ht="25.5">
      <c r="A1187" s="1">
        <v>161</v>
      </c>
      <c r="B1187" s="13">
        <f>B1186+1</f>
        <v>128</v>
      </c>
      <c r="C1187" s="81">
        <v>21.004999999999999</v>
      </c>
      <c r="D1187" s="21" t="s">
        <v>546</v>
      </c>
      <c r="E1187" s="204"/>
      <c r="F1187" s="204">
        <v>1</v>
      </c>
      <c r="G1187" s="535" t="s">
        <v>1845</v>
      </c>
      <c r="H1187" s="89"/>
      <c r="I1187" s="193"/>
      <c r="J1187" s="15">
        <v>4408154000</v>
      </c>
      <c r="K1187" s="25">
        <v>4024677000</v>
      </c>
      <c r="L1187" s="13"/>
      <c r="M1187" s="17"/>
      <c r="N1187" s="17"/>
      <c r="O1187" s="17"/>
      <c r="P1187" s="17"/>
      <c r="Q1187" s="17"/>
      <c r="R1187" s="17"/>
      <c r="S1187" s="17" t="s">
        <v>1458</v>
      </c>
      <c r="T1187" s="124">
        <v>1</v>
      </c>
      <c r="U1187" s="124">
        <v>1</v>
      </c>
      <c r="V1187" s="124"/>
      <c r="W1187" s="124"/>
      <c r="X1187" s="124"/>
      <c r="Y1187" s="167">
        <v>100</v>
      </c>
      <c r="Z1187" s="19">
        <v>100</v>
      </c>
      <c r="AA1187" s="22">
        <v>3963830000</v>
      </c>
      <c r="AB1187" s="19">
        <f t="shared" si="416"/>
        <v>98.488151968468529</v>
      </c>
      <c r="AC1187" s="20">
        <f t="shared" si="419"/>
        <v>3963830000</v>
      </c>
      <c r="AD1187" s="19">
        <f t="shared" si="417"/>
        <v>98.488151968468529</v>
      </c>
    </row>
    <row r="1188" spans="1:30" ht="47.25" customHeight="1">
      <c r="A1188" s="1">
        <v>162</v>
      </c>
      <c r="B1188" s="13">
        <f t="shared" ref="B1188:B1195" si="420">B1187+1</f>
        <v>129</v>
      </c>
      <c r="C1188" s="74" t="s">
        <v>547</v>
      </c>
      <c r="D1188" s="21" t="s">
        <v>548</v>
      </c>
      <c r="E1188" s="204"/>
      <c r="F1188" s="204">
        <v>1</v>
      </c>
      <c r="G1188" s="535" t="s">
        <v>1845</v>
      </c>
      <c r="H1188" s="89"/>
      <c r="I1188" s="193"/>
      <c r="J1188" s="15">
        <v>98701000</v>
      </c>
      <c r="K1188" s="25">
        <v>98701000</v>
      </c>
      <c r="L1188" s="168" t="s">
        <v>2002</v>
      </c>
      <c r="M1188" s="17">
        <v>185800000</v>
      </c>
      <c r="N1188" s="161" t="s">
        <v>1968</v>
      </c>
      <c r="O1188" s="50" t="s">
        <v>1995</v>
      </c>
      <c r="P1188" s="50" t="s">
        <v>2038</v>
      </c>
      <c r="Q1188" s="17"/>
      <c r="R1188" s="17"/>
      <c r="S1188" s="17"/>
      <c r="T1188" s="124"/>
      <c r="U1188" s="124"/>
      <c r="V1188" s="124"/>
      <c r="W1188" s="124"/>
      <c r="X1188" s="124"/>
      <c r="Y1188" s="167">
        <v>100</v>
      </c>
      <c r="Z1188" s="19">
        <v>100</v>
      </c>
      <c r="AA1188" s="22">
        <v>98195450</v>
      </c>
      <c r="AB1188" s="19">
        <f t="shared" si="416"/>
        <v>99.48779647622618</v>
      </c>
      <c r="AC1188" s="20">
        <f>AA1188</f>
        <v>98195450</v>
      </c>
      <c r="AD1188" s="19">
        <f t="shared" si="417"/>
        <v>99.48779647622618</v>
      </c>
    </row>
    <row r="1189" spans="1:30" ht="60">
      <c r="A1189" s="1">
        <v>163</v>
      </c>
      <c r="B1189" s="13">
        <f t="shared" si="420"/>
        <v>130</v>
      </c>
      <c r="C1189" s="164" t="s">
        <v>549</v>
      </c>
      <c r="D1189" s="21" t="s">
        <v>550</v>
      </c>
      <c r="E1189" s="204"/>
      <c r="F1189" s="204">
        <v>1</v>
      </c>
      <c r="G1189" s="535" t="s">
        <v>1845</v>
      </c>
      <c r="H1189" s="89"/>
      <c r="I1189" s="193"/>
      <c r="J1189" s="15">
        <v>198308000</v>
      </c>
      <c r="K1189" s="25">
        <v>198308000</v>
      </c>
      <c r="L1189" s="168" t="s">
        <v>2002</v>
      </c>
      <c r="M1189" s="17">
        <v>323883000</v>
      </c>
      <c r="N1189" s="161" t="s">
        <v>2039</v>
      </c>
      <c r="O1189" s="50" t="s">
        <v>1995</v>
      </c>
      <c r="P1189" s="50" t="s">
        <v>2038</v>
      </c>
      <c r="Q1189" s="17"/>
      <c r="R1189" s="17"/>
      <c r="S1189" s="17"/>
      <c r="T1189" s="124"/>
      <c r="U1189" s="124"/>
      <c r="V1189" s="124"/>
      <c r="W1189" s="124"/>
      <c r="X1189" s="124"/>
      <c r="Y1189" s="167">
        <v>100</v>
      </c>
      <c r="Z1189" s="19">
        <v>100</v>
      </c>
      <c r="AA1189" s="22">
        <v>190829900</v>
      </c>
      <c r="AB1189" s="19">
        <f t="shared" si="416"/>
        <v>96.229047743913512</v>
      </c>
      <c r="AC1189" s="20">
        <f>AA1189</f>
        <v>190829900</v>
      </c>
      <c r="AD1189" s="19">
        <f t="shared" si="417"/>
        <v>96.229047743913512</v>
      </c>
    </row>
    <row r="1190" spans="1:30" ht="59.25" customHeight="1">
      <c r="A1190" s="1">
        <v>164</v>
      </c>
      <c r="B1190" s="13">
        <f t="shared" si="420"/>
        <v>131</v>
      </c>
      <c r="C1190" s="81">
        <v>21.016999999999999</v>
      </c>
      <c r="D1190" s="21" t="s">
        <v>551</v>
      </c>
      <c r="E1190" s="204"/>
      <c r="F1190" s="204">
        <v>1</v>
      </c>
      <c r="G1190" s="535" t="s">
        <v>1845</v>
      </c>
      <c r="H1190" s="89"/>
      <c r="I1190" s="193"/>
      <c r="J1190" s="15">
        <v>447051000</v>
      </c>
      <c r="K1190" s="25">
        <v>447051000</v>
      </c>
      <c r="L1190" s="168" t="s">
        <v>1894</v>
      </c>
      <c r="M1190" s="17">
        <v>323883000</v>
      </c>
      <c r="N1190" s="161" t="s">
        <v>2040</v>
      </c>
      <c r="O1190" s="50" t="s">
        <v>2036</v>
      </c>
      <c r="P1190" s="50" t="s">
        <v>2041</v>
      </c>
      <c r="Q1190" s="17"/>
      <c r="R1190" s="17"/>
      <c r="S1190" s="17" t="s">
        <v>1458</v>
      </c>
      <c r="T1190" s="124">
        <v>1</v>
      </c>
      <c r="U1190" s="124"/>
      <c r="V1190" s="124">
        <v>1</v>
      </c>
      <c r="W1190" s="124"/>
      <c r="X1190" s="124"/>
      <c r="Y1190" s="167">
        <v>100</v>
      </c>
      <c r="Z1190" s="19">
        <v>100</v>
      </c>
      <c r="AA1190" s="22">
        <v>347529000</v>
      </c>
      <c r="AB1190" s="19">
        <f t="shared" si="416"/>
        <v>77.738110416932287</v>
      </c>
      <c r="AC1190" s="20">
        <f t="shared" si="419"/>
        <v>347529000</v>
      </c>
      <c r="AD1190" s="19">
        <f t="shared" si="417"/>
        <v>77.738110416932287</v>
      </c>
    </row>
    <row r="1191" spans="1:30" ht="55.5" customHeight="1">
      <c r="A1191" s="1">
        <v>165</v>
      </c>
      <c r="B1191" s="13">
        <f t="shared" si="420"/>
        <v>132</v>
      </c>
      <c r="C1191" s="74" t="s">
        <v>552</v>
      </c>
      <c r="D1191" s="21" t="s">
        <v>553</v>
      </c>
      <c r="E1191" s="204"/>
      <c r="F1191" s="204">
        <v>1</v>
      </c>
      <c r="G1191" s="535" t="s">
        <v>1845</v>
      </c>
      <c r="H1191" s="89"/>
      <c r="I1191" s="193"/>
      <c r="J1191" s="15">
        <v>451301000</v>
      </c>
      <c r="K1191" s="25">
        <v>336977000</v>
      </c>
      <c r="L1191" s="168" t="s">
        <v>1894</v>
      </c>
      <c r="M1191" s="17">
        <v>310676000</v>
      </c>
      <c r="N1191" s="161" t="s">
        <v>2040</v>
      </c>
      <c r="O1191" s="50" t="s">
        <v>2036</v>
      </c>
      <c r="P1191" s="50" t="s">
        <v>2041</v>
      </c>
      <c r="Q1191" s="17"/>
      <c r="R1191" s="17"/>
      <c r="S1191" s="17" t="s">
        <v>1458</v>
      </c>
      <c r="T1191" s="124">
        <v>1</v>
      </c>
      <c r="U1191" s="124"/>
      <c r="V1191" s="124">
        <v>1</v>
      </c>
      <c r="W1191" s="124"/>
      <c r="X1191" s="124"/>
      <c r="Y1191" s="167">
        <v>100</v>
      </c>
      <c r="Z1191" s="19">
        <v>100</v>
      </c>
      <c r="AA1191" s="22">
        <v>333522000</v>
      </c>
      <c r="AB1191" s="19">
        <f t="shared" si="416"/>
        <v>98.974707472616828</v>
      </c>
      <c r="AC1191" s="20">
        <f t="shared" si="419"/>
        <v>333522000</v>
      </c>
      <c r="AD1191" s="19">
        <f t="shared" si="417"/>
        <v>98.974707472616828</v>
      </c>
    </row>
    <row r="1192" spans="1:30" ht="22.5" customHeight="1">
      <c r="A1192" s="1">
        <v>166</v>
      </c>
      <c r="B1192" s="13">
        <f t="shared" si="420"/>
        <v>133</v>
      </c>
      <c r="C1192" s="74" t="s">
        <v>554</v>
      </c>
      <c r="D1192" s="21" t="s">
        <v>555</v>
      </c>
      <c r="E1192" s="204"/>
      <c r="F1192" s="204">
        <v>1</v>
      </c>
      <c r="G1192" s="535" t="s">
        <v>1845</v>
      </c>
      <c r="H1192" s="89"/>
      <c r="I1192" s="193"/>
      <c r="J1192" s="15">
        <v>1256155000</v>
      </c>
      <c r="K1192" s="25">
        <v>1112185000</v>
      </c>
      <c r="L1192" s="13"/>
      <c r="M1192" s="17"/>
      <c r="N1192" s="17"/>
      <c r="O1192" s="17"/>
      <c r="P1192" s="17"/>
      <c r="Q1192" s="17"/>
      <c r="R1192" s="17"/>
      <c r="S1192" s="17" t="s">
        <v>1458</v>
      </c>
      <c r="T1192" s="124">
        <v>1</v>
      </c>
      <c r="U1192" s="124">
        <v>1</v>
      </c>
      <c r="V1192" s="124"/>
      <c r="W1192" s="124"/>
      <c r="X1192" s="124"/>
      <c r="Y1192" s="167">
        <v>100</v>
      </c>
      <c r="Z1192" s="19">
        <v>100</v>
      </c>
      <c r="AA1192" s="22">
        <v>1109291000</v>
      </c>
      <c r="AB1192" s="19">
        <f t="shared" si="416"/>
        <v>99.739791491523448</v>
      </c>
      <c r="AC1192" s="20">
        <f t="shared" si="419"/>
        <v>1109291000</v>
      </c>
      <c r="AD1192" s="19">
        <f t="shared" si="417"/>
        <v>99.739791491523448</v>
      </c>
    </row>
    <row r="1193" spans="1:30" ht="22.5" customHeight="1">
      <c r="A1193" s="1">
        <v>167</v>
      </c>
      <c r="B1193" s="13">
        <f t="shared" si="420"/>
        <v>134</v>
      </c>
      <c r="C1193" s="74" t="s">
        <v>556</v>
      </c>
      <c r="D1193" s="21" t="s">
        <v>557</v>
      </c>
      <c r="E1193" s="204"/>
      <c r="F1193" s="204">
        <v>1</v>
      </c>
      <c r="G1193" s="535" t="s">
        <v>1845</v>
      </c>
      <c r="H1193" s="204">
        <v>1</v>
      </c>
      <c r="I1193" s="535" t="s">
        <v>1845</v>
      </c>
      <c r="J1193" s="15">
        <v>1224275000</v>
      </c>
      <c r="K1193" s="25">
        <v>1224275000</v>
      </c>
      <c r="L1193" s="13"/>
      <c r="M1193" s="17"/>
      <c r="N1193" s="408"/>
      <c r="O1193" s="401"/>
      <c r="P1193" s="401"/>
      <c r="Q1193" s="17"/>
      <c r="R1193" s="17" t="s">
        <v>1458</v>
      </c>
      <c r="S1193" s="17"/>
      <c r="T1193" s="124"/>
      <c r="U1193" s="124"/>
      <c r="V1193" s="124"/>
      <c r="W1193" s="124"/>
      <c r="X1193" s="124"/>
      <c r="Y1193" s="20">
        <v>100</v>
      </c>
      <c r="Z1193" s="19">
        <v>100</v>
      </c>
      <c r="AA1193" s="22">
        <v>1167347000</v>
      </c>
      <c r="AB1193" s="19">
        <f t="shared" si="416"/>
        <v>95.350064323783471</v>
      </c>
      <c r="AC1193" s="20">
        <f t="shared" si="419"/>
        <v>1167347000</v>
      </c>
      <c r="AD1193" s="19">
        <f t="shared" si="417"/>
        <v>95.350064323783471</v>
      </c>
    </row>
    <row r="1194" spans="1:30" ht="25.5" customHeight="1">
      <c r="A1194" s="1">
        <v>168</v>
      </c>
      <c r="B1194" s="13">
        <f t="shared" si="420"/>
        <v>135</v>
      </c>
      <c r="C1194" s="169" t="s">
        <v>558</v>
      </c>
      <c r="D1194" s="21" t="s">
        <v>559</v>
      </c>
      <c r="E1194" s="204"/>
      <c r="F1194" s="204">
        <v>1</v>
      </c>
      <c r="G1194" s="535" t="s">
        <v>1845</v>
      </c>
      <c r="H1194" s="89"/>
      <c r="I1194" s="193"/>
      <c r="J1194" s="15">
        <v>831700000</v>
      </c>
      <c r="K1194" s="41">
        <v>639689000</v>
      </c>
      <c r="L1194" s="13"/>
      <c r="M1194" s="17"/>
      <c r="N1194" s="408"/>
      <c r="O1194" s="401"/>
      <c r="P1194" s="401"/>
      <c r="Q1194" s="17"/>
      <c r="R1194" s="17"/>
      <c r="S1194" s="17" t="s">
        <v>1458</v>
      </c>
      <c r="T1194" s="124">
        <v>1</v>
      </c>
      <c r="U1194" s="124">
        <v>1</v>
      </c>
      <c r="V1194" s="124"/>
      <c r="W1194" s="124"/>
      <c r="X1194" s="124"/>
      <c r="Y1194" s="20">
        <v>100</v>
      </c>
      <c r="Z1194" s="19">
        <v>100</v>
      </c>
      <c r="AA1194" s="22">
        <v>637253000</v>
      </c>
      <c r="AB1194" s="19">
        <f t="shared" si="416"/>
        <v>99.619189950116379</v>
      </c>
      <c r="AC1194" s="20">
        <f>AA1194</f>
        <v>637253000</v>
      </c>
      <c r="AD1194" s="19">
        <f t="shared" si="417"/>
        <v>99.619189950116379</v>
      </c>
    </row>
    <row r="1195" spans="1:30" ht="48">
      <c r="A1195" s="1">
        <v>169</v>
      </c>
      <c r="B1195" s="13">
        <f t="shared" si="420"/>
        <v>136</v>
      </c>
      <c r="C1195" s="170">
        <v>21.036000000000001</v>
      </c>
      <c r="D1195" s="21" t="s">
        <v>560</v>
      </c>
      <c r="E1195" s="204"/>
      <c r="F1195" s="204">
        <v>1</v>
      </c>
      <c r="G1195" s="535" t="s">
        <v>1845</v>
      </c>
      <c r="H1195" s="89"/>
      <c r="I1195" s="193"/>
      <c r="J1195" s="15">
        <v>137075000</v>
      </c>
      <c r="K1195" s="41">
        <v>137075000</v>
      </c>
      <c r="L1195" s="13" t="s">
        <v>1894</v>
      </c>
      <c r="M1195" s="17">
        <v>191700000</v>
      </c>
      <c r="N1195" s="408" t="s">
        <v>2039</v>
      </c>
      <c r="O1195" s="401" t="s">
        <v>1995</v>
      </c>
      <c r="P1195" s="401" t="s">
        <v>2042</v>
      </c>
      <c r="Q1195" s="17"/>
      <c r="R1195" s="17"/>
      <c r="S1195" s="17" t="s">
        <v>1458</v>
      </c>
      <c r="T1195" s="124"/>
      <c r="U1195" s="124"/>
      <c r="V1195" s="124"/>
      <c r="W1195" s="124"/>
      <c r="X1195" s="124"/>
      <c r="Y1195" s="20">
        <v>100</v>
      </c>
      <c r="Z1195" s="19">
        <v>100</v>
      </c>
      <c r="AA1195" s="22">
        <v>136949000</v>
      </c>
      <c r="AB1195" s="19">
        <f t="shared" si="416"/>
        <v>99.908079518511755</v>
      </c>
      <c r="AC1195" s="20">
        <f>AA1195</f>
        <v>136949000</v>
      </c>
      <c r="AD1195" s="19">
        <f t="shared" si="417"/>
        <v>99.908079518511755</v>
      </c>
    </row>
    <row r="1196" spans="1:30" ht="48">
      <c r="A1196" s="1">
        <v>170</v>
      </c>
      <c r="B1196" s="13">
        <f>B1195+1</f>
        <v>137</v>
      </c>
      <c r="C1196" s="170">
        <v>21.036999999999999</v>
      </c>
      <c r="D1196" s="21" t="s">
        <v>561</v>
      </c>
      <c r="E1196" s="204"/>
      <c r="F1196" s="204">
        <v>1</v>
      </c>
      <c r="G1196" s="535" t="s">
        <v>1845</v>
      </c>
      <c r="H1196" s="89"/>
      <c r="I1196" s="193"/>
      <c r="J1196" s="15">
        <v>200000000</v>
      </c>
      <c r="K1196" s="41">
        <v>200000000</v>
      </c>
      <c r="L1196" s="13"/>
      <c r="M1196" s="22">
        <v>191700000</v>
      </c>
      <c r="N1196" s="408" t="s">
        <v>1914</v>
      </c>
      <c r="O1196" s="401" t="s">
        <v>1995</v>
      </c>
      <c r="P1196" s="401" t="s">
        <v>2038</v>
      </c>
      <c r="Q1196" s="17"/>
      <c r="R1196" s="17"/>
      <c r="S1196" s="17" t="s">
        <v>1458</v>
      </c>
      <c r="T1196" s="124"/>
      <c r="U1196" s="124"/>
      <c r="V1196" s="124"/>
      <c r="W1196" s="124"/>
      <c r="X1196" s="124"/>
      <c r="Y1196" s="20">
        <v>100</v>
      </c>
      <c r="Z1196" s="19">
        <v>100</v>
      </c>
      <c r="AA1196" s="22">
        <v>199695000</v>
      </c>
      <c r="AB1196" s="19">
        <f t="shared" si="416"/>
        <v>99.847499999999997</v>
      </c>
      <c r="AC1196" s="20">
        <f>AA1196</f>
        <v>199695000</v>
      </c>
      <c r="AD1196" s="19">
        <f t="shared" si="417"/>
        <v>99.847499999999997</v>
      </c>
    </row>
    <row r="1197" spans="1:30" ht="15.75">
      <c r="A1197" s="1">
        <v>171</v>
      </c>
      <c r="B1197" s="13"/>
      <c r="C1197" s="86" t="s">
        <v>562</v>
      </c>
      <c r="D1197" s="86" t="s">
        <v>563</v>
      </c>
      <c r="E1197" s="485"/>
      <c r="F1197" s="204"/>
      <c r="G1197" s="535"/>
      <c r="H1197" s="87"/>
      <c r="I1197" s="441"/>
      <c r="J1197" s="130"/>
      <c r="K1197" s="130"/>
      <c r="L1197" s="13"/>
      <c r="M1197" s="17"/>
      <c r="N1197" s="408"/>
      <c r="O1197" s="401"/>
      <c r="P1197" s="401"/>
      <c r="Q1197" s="17"/>
      <c r="R1197" s="17"/>
      <c r="S1197" s="17"/>
      <c r="T1197" s="124"/>
      <c r="U1197" s="124"/>
      <c r="V1197" s="124"/>
      <c r="W1197" s="124"/>
      <c r="X1197" s="124"/>
      <c r="Y1197" s="98"/>
      <c r="Z1197" s="19"/>
      <c r="AA1197" s="22"/>
      <c r="AB1197" s="19"/>
      <c r="AC1197" s="20"/>
      <c r="AD1197" s="19"/>
    </row>
    <row r="1198" spans="1:30" ht="27">
      <c r="A1198" s="1">
        <v>172</v>
      </c>
      <c r="B1198" s="13">
        <f>B1196+1</f>
        <v>138</v>
      </c>
      <c r="C1198" s="74" t="s">
        <v>564</v>
      </c>
      <c r="D1198" s="74" t="s">
        <v>565</v>
      </c>
      <c r="E1198" s="204"/>
      <c r="F1198" s="204">
        <v>1</v>
      </c>
      <c r="G1198" s="535" t="s">
        <v>1845</v>
      </c>
      <c r="H1198" s="89"/>
      <c r="I1198" s="193"/>
      <c r="J1198" s="15">
        <v>800000000</v>
      </c>
      <c r="K1198" s="719">
        <v>1794620000</v>
      </c>
      <c r="L1198" s="13"/>
      <c r="M1198" s="17"/>
      <c r="N1198" s="17"/>
      <c r="O1198" s="17"/>
      <c r="P1198" s="17"/>
      <c r="Q1198" s="17"/>
      <c r="R1198" s="17"/>
      <c r="S1198" s="17"/>
      <c r="T1198" s="124"/>
      <c r="U1198" s="124"/>
      <c r="V1198" s="124"/>
      <c r="W1198" s="124"/>
      <c r="X1198" s="124"/>
      <c r="Y1198" s="461">
        <v>100</v>
      </c>
      <c r="Z1198" s="461">
        <v>100</v>
      </c>
      <c r="AA1198" s="22">
        <v>440606060</v>
      </c>
      <c r="AB1198" s="19">
        <f t="shared" si="416"/>
        <v>24.55149613845828</v>
      </c>
      <c r="AC1198" s="20">
        <f>AA1198</f>
        <v>440606060</v>
      </c>
      <c r="AD1198" s="19">
        <f t="shared" si="417"/>
        <v>24.55149613845828</v>
      </c>
    </row>
    <row r="1199" spans="1:30" ht="27">
      <c r="A1199" s="1">
        <v>173</v>
      </c>
      <c r="B1199" s="45"/>
      <c r="C1199" s="171" t="s">
        <v>566</v>
      </c>
      <c r="D1199" s="86" t="s">
        <v>567</v>
      </c>
      <c r="E1199" s="485"/>
      <c r="F1199" s="204"/>
      <c r="G1199" s="535"/>
      <c r="H1199" s="87"/>
      <c r="I1199" s="441"/>
      <c r="J1199" s="130"/>
      <c r="K1199" s="722"/>
      <c r="L1199" s="13"/>
      <c r="M1199" s="17"/>
      <c r="N1199" s="17"/>
      <c r="O1199" s="17"/>
      <c r="P1199" s="17"/>
      <c r="Q1199" s="17"/>
      <c r="R1199" s="17"/>
      <c r="S1199" s="17"/>
      <c r="T1199" s="124"/>
      <c r="U1199" s="124"/>
      <c r="V1199" s="124"/>
      <c r="W1199" s="124"/>
      <c r="X1199" s="124"/>
      <c r="Y1199" s="20"/>
      <c r="Z1199" s="19"/>
      <c r="AA1199" s="22"/>
      <c r="AB1199" s="19"/>
      <c r="AC1199" s="20">
        <f t="shared" si="419"/>
        <v>0</v>
      </c>
      <c r="AD1199" s="19"/>
    </row>
    <row r="1200" spans="1:30">
      <c r="A1200" s="1">
        <v>174</v>
      </c>
      <c r="B1200" s="13">
        <f>B1198+1</f>
        <v>139</v>
      </c>
      <c r="C1200" s="172" t="s">
        <v>568</v>
      </c>
      <c r="D1200" s="49" t="s">
        <v>569</v>
      </c>
      <c r="E1200" s="485"/>
      <c r="F1200" s="204">
        <v>1</v>
      </c>
      <c r="G1200" s="535" t="s">
        <v>1845</v>
      </c>
      <c r="H1200" s="87"/>
      <c r="I1200" s="441"/>
      <c r="J1200" s="15">
        <v>7500000</v>
      </c>
      <c r="K1200" s="721">
        <v>7500000</v>
      </c>
      <c r="L1200" s="13"/>
      <c r="M1200" s="17"/>
      <c r="N1200" s="17"/>
      <c r="O1200" s="17"/>
      <c r="P1200" s="17"/>
      <c r="Q1200" s="17"/>
      <c r="R1200" s="17"/>
      <c r="S1200" s="17"/>
      <c r="T1200" s="124"/>
      <c r="U1200" s="124"/>
      <c r="V1200" s="124"/>
      <c r="W1200" s="124"/>
      <c r="X1200" s="124"/>
      <c r="Y1200" s="20">
        <v>100</v>
      </c>
      <c r="Z1200" s="19">
        <v>100</v>
      </c>
      <c r="AA1200" s="22">
        <v>7272000</v>
      </c>
      <c r="AB1200" s="19">
        <f t="shared" si="416"/>
        <v>96.960000000000008</v>
      </c>
      <c r="AC1200" s="20">
        <f>AA1200</f>
        <v>7272000</v>
      </c>
      <c r="AD1200" s="19">
        <f t="shared" si="417"/>
        <v>96.960000000000008</v>
      </c>
    </row>
    <row r="1201" spans="1:30" ht="27">
      <c r="A1201" s="1">
        <v>175</v>
      </c>
      <c r="B1201" s="13"/>
      <c r="C1201" s="86" t="s">
        <v>570</v>
      </c>
      <c r="D1201" s="86" t="s">
        <v>571</v>
      </c>
      <c r="E1201" s="485"/>
      <c r="F1201" s="204"/>
      <c r="G1201" s="535"/>
      <c r="H1201" s="87"/>
      <c r="I1201" s="441"/>
      <c r="J1201" s="130"/>
      <c r="K1201" s="130"/>
      <c r="L1201" s="13"/>
      <c r="M1201" s="99"/>
      <c r="N1201" s="408"/>
      <c r="O1201" s="17"/>
      <c r="P1201" s="17"/>
      <c r="Q1201" s="17"/>
      <c r="R1201" s="17"/>
      <c r="S1201" s="17"/>
      <c r="T1201" s="124"/>
      <c r="U1201" s="124"/>
      <c r="V1201" s="124"/>
      <c r="W1201" s="124"/>
      <c r="X1201" s="124"/>
      <c r="Y1201" s="20"/>
      <c r="Z1201" s="19"/>
      <c r="AA1201" s="22"/>
      <c r="AB1201" s="19"/>
      <c r="AC1201" s="20"/>
      <c r="AD1201" s="19"/>
    </row>
    <row r="1202" spans="1:30" ht="60">
      <c r="A1202" s="1">
        <v>176</v>
      </c>
      <c r="B1202" s="13">
        <f>B1200+1</f>
        <v>140</v>
      </c>
      <c r="C1202" s="74" t="s">
        <v>219</v>
      </c>
      <c r="D1202" s="21" t="s">
        <v>572</v>
      </c>
      <c r="E1202" s="204"/>
      <c r="F1202" s="204">
        <v>1</v>
      </c>
      <c r="G1202" s="535" t="s">
        <v>1845</v>
      </c>
      <c r="H1202" s="89"/>
      <c r="I1202" s="193"/>
      <c r="J1202" s="15">
        <v>844712000</v>
      </c>
      <c r="K1202" s="25">
        <v>844712000</v>
      </c>
      <c r="L1202" s="13"/>
      <c r="M1202" s="99">
        <v>198815000</v>
      </c>
      <c r="N1202" s="408" t="s">
        <v>2043</v>
      </c>
      <c r="O1202" s="401" t="s">
        <v>2044</v>
      </c>
      <c r="P1202" s="401"/>
      <c r="Q1202" s="17"/>
      <c r="R1202" s="17"/>
      <c r="S1202" s="17" t="s">
        <v>1458</v>
      </c>
      <c r="T1202" s="124"/>
      <c r="U1202" s="124"/>
      <c r="V1202" s="124"/>
      <c r="W1202" s="124"/>
      <c r="X1202" s="124"/>
      <c r="Y1202" s="20">
        <v>100</v>
      </c>
      <c r="Z1202" s="19">
        <v>100</v>
      </c>
      <c r="AA1202" s="22">
        <v>768112650</v>
      </c>
      <c r="AB1202" s="19">
        <f t="shared" si="416"/>
        <v>90.931897498792495</v>
      </c>
      <c r="AC1202" s="20">
        <f>AA1202</f>
        <v>768112650</v>
      </c>
      <c r="AD1202" s="19">
        <f t="shared" si="417"/>
        <v>90.931897498792495</v>
      </c>
    </row>
    <row r="1203" spans="1:30" ht="45">
      <c r="A1203" s="1">
        <v>177</v>
      </c>
      <c r="B1203" s="13">
        <f t="shared" ref="B1203:B1210" si="421">B1202+1</f>
        <v>141</v>
      </c>
      <c r="C1203" s="81">
        <v>15.004</v>
      </c>
      <c r="D1203" s="21" t="s">
        <v>573</v>
      </c>
      <c r="E1203" s="204"/>
      <c r="F1203" s="204">
        <v>1</v>
      </c>
      <c r="G1203" s="535" t="s">
        <v>1845</v>
      </c>
      <c r="H1203" s="89"/>
      <c r="I1203" s="193"/>
      <c r="J1203" s="15">
        <v>149412000</v>
      </c>
      <c r="K1203" s="25">
        <v>149412000</v>
      </c>
      <c r="L1203" s="13"/>
      <c r="M1203" s="17">
        <v>142000000</v>
      </c>
      <c r="N1203" s="161" t="s">
        <v>2045</v>
      </c>
      <c r="O1203" s="50" t="s">
        <v>2009</v>
      </c>
      <c r="P1203" s="17"/>
      <c r="Q1203" s="17"/>
      <c r="R1203" s="17"/>
      <c r="S1203" s="17"/>
      <c r="T1203" s="124"/>
      <c r="U1203" s="124"/>
      <c r="V1203" s="124"/>
      <c r="W1203" s="124"/>
      <c r="X1203" s="124"/>
      <c r="Y1203" s="20">
        <v>100</v>
      </c>
      <c r="Z1203" s="19">
        <v>100</v>
      </c>
      <c r="AA1203" s="22">
        <v>148390000</v>
      </c>
      <c r="AB1203" s="19">
        <f t="shared" si="416"/>
        <v>99.315985329156959</v>
      </c>
      <c r="AC1203" s="20">
        <f>AA1203</f>
        <v>148390000</v>
      </c>
      <c r="AD1203" s="19">
        <f t="shared" si="417"/>
        <v>99.315985329156959</v>
      </c>
    </row>
    <row r="1204" spans="1:30" ht="60">
      <c r="A1204" s="1">
        <v>178</v>
      </c>
      <c r="B1204" s="13">
        <f t="shared" si="421"/>
        <v>142</v>
      </c>
      <c r="C1204" s="81">
        <v>15.005000000000001</v>
      </c>
      <c r="D1204" s="21" t="s">
        <v>574</v>
      </c>
      <c r="E1204" s="204"/>
      <c r="F1204" s="204">
        <v>1</v>
      </c>
      <c r="G1204" s="535" t="s">
        <v>1845</v>
      </c>
      <c r="H1204" s="89"/>
      <c r="I1204" s="193"/>
      <c r="J1204" s="15">
        <v>290220000</v>
      </c>
      <c r="K1204" s="25">
        <v>290220000</v>
      </c>
      <c r="L1204" s="13"/>
      <c r="M1204" s="22">
        <v>275929000</v>
      </c>
      <c r="N1204" s="161" t="s">
        <v>1858</v>
      </c>
      <c r="O1204" s="50" t="s">
        <v>1992</v>
      </c>
      <c r="P1204" s="17"/>
      <c r="Q1204" s="17"/>
      <c r="R1204" s="17"/>
      <c r="S1204" s="17" t="s">
        <v>1458</v>
      </c>
      <c r="T1204" s="124">
        <v>1</v>
      </c>
      <c r="U1204" s="124"/>
      <c r="V1204" s="124">
        <v>1</v>
      </c>
      <c r="W1204" s="124"/>
      <c r="X1204" s="124"/>
      <c r="Y1204" s="19">
        <v>100</v>
      </c>
      <c r="Z1204" s="19">
        <v>100</v>
      </c>
      <c r="AA1204" s="22">
        <v>270223550</v>
      </c>
      <c r="AB1204" s="19">
        <f t="shared" si="416"/>
        <v>93.109899386672183</v>
      </c>
      <c r="AC1204" s="20">
        <f t="shared" si="419"/>
        <v>270223550</v>
      </c>
      <c r="AD1204" s="19">
        <f t="shared" si="417"/>
        <v>93.109899386672183</v>
      </c>
    </row>
    <row r="1205" spans="1:30" ht="45">
      <c r="A1205" s="1">
        <v>179</v>
      </c>
      <c r="B1205" s="13">
        <f t="shared" si="421"/>
        <v>143</v>
      </c>
      <c r="C1205" s="81">
        <v>15.006</v>
      </c>
      <c r="D1205" s="21" t="s">
        <v>575</v>
      </c>
      <c r="E1205" s="204"/>
      <c r="F1205" s="204">
        <v>1</v>
      </c>
      <c r="G1205" s="535" t="s">
        <v>1845</v>
      </c>
      <c r="H1205" s="89"/>
      <c r="I1205" s="193"/>
      <c r="J1205" s="15">
        <v>199235000</v>
      </c>
      <c r="K1205" s="25">
        <v>199235000</v>
      </c>
      <c r="L1205" s="13"/>
      <c r="M1205" s="17"/>
      <c r="N1205" s="161" t="s">
        <v>2046</v>
      </c>
      <c r="O1205" s="50" t="s">
        <v>2009</v>
      </c>
      <c r="P1205" s="17"/>
      <c r="Q1205" s="17"/>
      <c r="R1205" s="17"/>
      <c r="S1205" s="17" t="s">
        <v>1458</v>
      </c>
      <c r="T1205" s="124"/>
      <c r="U1205" s="124"/>
      <c r="V1205" s="124"/>
      <c r="W1205" s="124"/>
      <c r="X1205" s="124"/>
      <c r="Y1205" s="19">
        <v>100</v>
      </c>
      <c r="Z1205" s="19">
        <v>100</v>
      </c>
      <c r="AA1205" s="22">
        <v>197903000</v>
      </c>
      <c r="AB1205" s="19">
        <f t="shared" si="416"/>
        <v>99.331442768589866</v>
      </c>
      <c r="AC1205" s="20">
        <f t="shared" si="419"/>
        <v>197903000</v>
      </c>
      <c r="AD1205" s="19">
        <f t="shared" si="417"/>
        <v>99.331442768589866</v>
      </c>
    </row>
    <row r="1206" spans="1:30" ht="45">
      <c r="A1206" s="1">
        <v>180</v>
      </c>
      <c r="B1206" s="13">
        <f t="shared" si="421"/>
        <v>144</v>
      </c>
      <c r="C1206" s="81">
        <v>15.007</v>
      </c>
      <c r="D1206" s="21" t="s">
        <v>576</v>
      </c>
      <c r="E1206" s="489"/>
      <c r="F1206" s="204">
        <v>1</v>
      </c>
      <c r="G1206" s="535" t="s">
        <v>1845</v>
      </c>
      <c r="H1206" s="186"/>
      <c r="I1206" s="240"/>
      <c r="J1206" s="15">
        <v>199655000</v>
      </c>
      <c r="K1206" s="40">
        <v>199655000</v>
      </c>
      <c r="L1206" s="45"/>
      <c r="M1206" s="44">
        <v>189350000</v>
      </c>
      <c r="N1206" s="642" t="s">
        <v>2047</v>
      </c>
      <c r="O1206" s="80" t="s">
        <v>2009</v>
      </c>
      <c r="P1206" s="44"/>
      <c r="Q1206" s="44"/>
      <c r="R1206" s="44"/>
      <c r="S1206" s="44" t="s">
        <v>1458</v>
      </c>
      <c r="T1206" s="647"/>
      <c r="U1206" s="647"/>
      <c r="V1206" s="647"/>
      <c r="W1206" s="647"/>
      <c r="X1206" s="647"/>
      <c r="Y1206" s="19">
        <v>100</v>
      </c>
      <c r="Z1206" s="19">
        <v>100</v>
      </c>
      <c r="AA1206" s="22">
        <v>197648000</v>
      </c>
      <c r="AB1206" s="19">
        <f t="shared" si="416"/>
        <v>98.994765971300495</v>
      </c>
      <c r="AC1206" s="20">
        <f t="shared" si="419"/>
        <v>197648000</v>
      </c>
      <c r="AD1206" s="19">
        <f t="shared" si="417"/>
        <v>98.994765971300495</v>
      </c>
    </row>
    <row r="1207" spans="1:30" ht="25.5">
      <c r="A1207" s="1">
        <v>181</v>
      </c>
      <c r="B1207" s="13">
        <f t="shared" si="421"/>
        <v>145</v>
      </c>
      <c r="C1207" s="81">
        <v>15.007999999999999</v>
      </c>
      <c r="D1207" s="21" t="s">
        <v>577</v>
      </c>
      <c r="E1207" s="489"/>
      <c r="F1207" s="204">
        <v>1</v>
      </c>
      <c r="G1207" s="535" t="s">
        <v>1845</v>
      </c>
      <c r="H1207" s="186"/>
      <c r="I1207" s="240"/>
      <c r="J1207" s="15">
        <v>55440000</v>
      </c>
      <c r="K1207" s="40">
        <v>55440000</v>
      </c>
      <c r="L1207" s="45"/>
      <c r="M1207" s="44"/>
      <c r="N1207" s="44"/>
      <c r="O1207" s="44"/>
      <c r="P1207" s="44"/>
      <c r="Q1207" s="44"/>
      <c r="R1207" s="44"/>
      <c r="S1207" s="44"/>
      <c r="T1207" s="647"/>
      <c r="U1207" s="647"/>
      <c r="V1207" s="647"/>
      <c r="W1207" s="647"/>
      <c r="X1207" s="647"/>
      <c r="Y1207" s="46">
        <v>100</v>
      </c>
      <c r="Z1207" s="46">
        <v>100</v>
      </c>
      <c r="AA1207" s="73">
        <v>21140500</v>
      </c>
      <c r="AB1207" s="19">
        <f t="shared" si="416"/>
        <v>38.132215007215009</v>
      </c>
      <c r="AC1207" s="100">
        <f t="shared" si="419"/>
        <v>21140500</v>
      </c>
      <c r="AD1207" s="19">
        <f t="shared" si="417"/>
        <v>38.132215007215009</v>
      </c>
    </row>
    <row r="1208" spans="1:30" ht="45">
      <c r="A1208" s="1">
        <v>182</v>
      </c>
      <c r="B1208" s="13">
        <f t="shared" si="421"/>
        <v>146</v>
      </c>
      <c r="C1208" s="173" t="s">
        <v>578</v>
      </c>
      <c r="D1208" s="21" t="s">
        <v>579</v>
      </c>
      <c r="E1208" s="204"/>
      <c r="F1208" s="204">
        <v>1</v>
      </c>
      <c r="G1208" s="535" t="s">
        <v>1845</v>
      </c>
      <c r="H1208" s="89"/>
      <c r="I1208" s="193"/>
      <c r="J1208" s="15">
        <v>62609000</v>
      </c>
      <c r="K1208" s="25">
        <v>62609000</v>
      </c>
      <c r="L1208" s="13"/>
      <c r="M1208" s="17"/>
      <c r="N1208" s="161" t="s">
        <v>2047</v>
      </c>
      <c r="O1208" s="50" t="s">
        <v>2009</v>
      </c>
      <c r="P1208" s="17"/>
      <c r="Q1208" s="17"/>
      <c r="R1208" s="44"/>
      <c r="S1208" s="44" t="s">
        <v>1458</v>
      </c>
      <c r="T1208" s="647"/>
      <c r="U1208" s="647"/>
      <c r="V1208" s="647"/>
      <c r="W1208" s="647"/>
      <c r="X1208" s="647"/>
      <c r="Y1208" s="46">
        <v>100</v>
      </c>
      <c r="Z1208" s="46">
        <v>100</v>
      </c>
      <c r="AA1208" s="73">
        <v>61872000</v>
      </c>
      <c r="AB1208" s="19">
        <f t="shared" si="416"/>
        <v>98.822852944464856</v>
      </c>
      <c r="AC1208" s="100">
        <f>AA1208</f>
        <v>61872000</v>
      </c>
      <c r="AD1208" s="19">
        <f t="shared" si="417"/>
        <v>98.822852944464856</v>
      </c>
    </row>
    <row r="1209" spans="1:30" ht="45">
      <c r="A1209" s="1">
        <v>183</v>
      </c>
      <c r="B1209" s="13">
        <f t="shared" si="421"/>
        <v>147</v>
      </c>
      <c r="C1209" s="174">
        <v>15.010999999999999</v>
      </c>
      <c r="D1209" s="21" t="s">
        <v>580</v>
      </c>
      <c r="E1209" s="204"/>
      <c r="F1209" s="204">
        <v>1</v>
      </c>
      <c r="G1209" s="535" t="s">
        <v>1845</v>
      </c>
      <c r="H1209" s="89"/>
      <c r="I1209" s="193"/>
      <c r="J1209" s="15">
        <v>180000000</v>
      </c>
      <c r="K1209" s="25">
        <v>180000000</v>
      </c>
      <c r="L1209" s="13"/>
      <c r="M1209" s="17">
        <v>172150000</v>
      </c>
      <c r="N1209" s="161" t="s">
        <v>2048</v>
      </c>
      <c r="O1209" s="50" t="s">
        <v>2009</v>
      </c>
      <c r="P1209" s="17"/>
      <c r="Q1209" s="17"/>
      <c r="R1209" s="17"/>
      <c r="S1209" s="17" t="s">
        <v>1458</v>
      </c>
      <c r="T1209" s="124"/>
      <c r="U1209" s="124"/>
      <c r="V1209" s="124"/>
      <c r="W1209" s="124"/>
      <c r="X1209" s="124"/>
      <c r="Y1209" s="19">
        <v>10</v>
      </c>
      <c r="Z1209" s="19">
        <v>100</v>
      </c>
      <c r="AA1209" s="22">
        <v>179850000</v>
      </c>
      <c r="AB1209" s="19">
        <f t="shared" si="416"/>
        <v>99.916666666666671</v>
      </c>
      <c r="AC1209" s="20">
        <f>AA1209</f>
        <v>179850000</v>
      </c>
      <c r="AD1209" s="19">
        <f t="shared" si="417"/>
        <v>99.916666666666671</v>
      </c>
    </row>
    <row r="1210" spans="1:30" ht="54.75" customHeight="1">
      <c r="A1210" s="1">
        <v>184</v>
      </c>
      <c r="B1210" s="45">
        <f t="shared" si="421"/>
        <v>148</v>
      </c>
      <c r="C1210" s="269">
        <v>15.012</v>
      </c>
      <c r="D1210" s="677" t="s">
        <v>581</v>
      </c>
      <c r="E1210" s="489"/>
      <c r="F1210" s="489">
        <v>1</v>
      </c>
      <c r="G1210" s="611" t="s">
        <v>1845</v>
      </c>
      <c r="H1210" s="186"/>
      <c r="I1210" s="240" t="s">
        <v>1</v>
      </c>
      <c r="J1210" s="79">
        <v>100000000</v>
      </c>
      <c r="K1210" s="40">
        <v>100000000</v>
      </c>
      <c r="L1210" s="45"/>
      <c r="M1210" s="44"/>
      <c r="N1210" s="642" t="s">
        <v>2049</v>
      </c>
      <c r="O1210" s="80" t="s">
        <v>2009</v>
      </c>
      <c r="P1210" s="44"/>
      <c r="Q1210" s="44"/>
      <c r="R1210" s="44"/>
      <c r="S1210" s="44" t="s">
        <v>1458</v>
      </c>
      <c r="T1210" s="647"/>
      <c r="U1210" s="647"/>
      <c r="V1210" s="647"/>
      <c r="W1210" s="647"/>
      <c r="X1210" s="647"/>
      <c r="Y1210" s="46">
        <v>100</v>
      </c>
      <c r="Z1210" s="46">
        <v>100</v>
      </c>
      <c r="AA1210" s="73">
        <v>99865000</v>
      </c>
      <c r="AB1210" s="19">
        <f t="shared" si="416"/>
        <v>99.865000000000009</v>
      </c>
      <c r="AC1210" s="100">
        <f>AA1210</f>
        <v>99865000</v>
      </c>
      <c r="AD1210" s="19">
        <f t="shared" si="417"/>
        <v>99.865000000000009</v>
      </c>
    </row>
    <row r="1211" spans="1:30" ht="18.75" customHeight="1">
      <c r="B1211" s="45"/>
      <c r="C1211" s="269"/>
      <c r="D1211" s="677"/>
      <c r="E1211" s="489"/>
      <c r="F1211" s="489"/>
      <c r="G1211" s="611"/>
      <c r="H1211" s="186"/>
      <c r="I1211" s="240"/>
      <c r="J1211" s="79"/>
      <c r="K1211" s="40"/>
      <c r="L1211" s="45"/>
      <c r="M1211" s="44"/>
      <c r="N1211" s="642"/>
      <c r="O1211" s="80"/>
      <c r="P1211" s="44"/>
      <c r="Q1211" s="44"/>
      <c r="R1211" s="44"/>
      <c r="S1211" s="44"/>
      <c r="T1211" s="647"/>
      <c r="U1211" s="647"/>
      <c r="V1211" s="647"/>
      <c r="W1211" s="647"/>
      <c r="X1211" s="647"/>
      <c r="Y1211" s="46"/>
      <c r="Z1211" s="46"/>
      <c r="AA1211" s="73"/>
      <c r="AB1211" s="19"/>
      <c r="AC1211" s="100"/>
      <c r="AD1211" s="19"/>
    </row>
    <row r="1212" spans="1:30" s="89" customFormat="1" ht="19.5" customHeight="1">
      <c r="A1212" s="723"/>
      <c r="B1212" s="13"/>
      <c r="C1212" s="174"/>
      <c r="D1212" s="14" t="s">
        <v>2152</v>
      </c>
      <c r="E1212" s="204"/>
      <c r="F1212" s="204"/>
      <c r="G1212" s="59"/>
      <c r="I1212" s="193"/>
      <c r="J1212" s="15"/>
      <c r="K1212" s="25"/>
      <c r="L1212" s="13"/>
      <c r="M1212" s="17"/>
      <c r="N1212" s="161"/>
      <c r="O1212" s="50"/>
      <c r="P1212" s="17"/>
      <c r="Q1212" s="17"/>
      <c r="R1212" s="17"/>
      <c r="S1212" s="17"/>
      <c r="T1212" s="124"/>
      <c r="U1212" s="124"/>
      <c r="V1212" s="124"/>
      <c r="W1212" s="124"/>
      <c r="X1212" s="124"/>
      <c r="Y1212" s="19"/>
      <c r="Z1212" s="19"/>
      <c r="AA1212" s="22"/>
      <c r="AB1212" s="19"/>
      <c r="AC1212" s="20"/>
      <c r="AD1212" s="19"/>
    </row>
    <row r="1213" spans="1:30" s="89" customFormat="1" ht="28.5" customHeight="1">
      <c r="A1213" s="723"/>
      <c r="B1213" s="13"/>
      <c r="C1213" s="174"/>
      <c r="D1213" s="14" t="s">
        <v>366</v>
      </c>
      <c r="E1213" s="204"/>
      <c r="F1213" s="204"/>
      <c r="G1213" s="59"/>
      <c r="I1213" s="193"/>
      <c r="J1213" s="15"/>
      <c r="K1213" s="25"/>
      <c r="L1213" s="13"/>
      <c r="M1213" s="17"/>
      <c r="N1213" s="161"/>
      <c r="O1213" s="50"/>
      <c r="P1213" s="17"/>
      <c r="Q1213" s="17"/>
      <c r="R1213" s="17"/>
      <c r="S1213" s="17"/>
      <c r="T1213" s="124"/>
      <c r="U1213" s="124"/>
      <c r="V1213" s="124"/>
      <c r="W1213" s="124"/>
      <c r="X1213" s="124"/>
      <c r="Y1213" s="19"/>
      <c r="Z1213" s="19"/>
      <c r="AA1213" s="22"/>
      <c r="AB1213" s="19"/>
      <c r="AC1213" s="20"/>
      <c r="AD1213" s="19"/>
    </row>
    <row r="1214" spans="1:30" s="89" customFormat="1" ht="42" customHeight="1">
      <c r="A1214" s="723"/>
      <c r="B1214" s="13">
        <f>1+B1210</f>
        <v>149</v>
      </c>
      <c r="C1214" s="174"/>
      <c r="D1214" s="21" t="s">
        <v>2153</v>
      </c>
      <c r="E1214" s="204"/>
      <c r="F1214" s="204"/>
      <c r="G1214" s="59"/>
      <c r="I1214" s="193"/>
      <c r="J1214" s="15"/>
      <c r="K1214" s="721">
        <v>725000000</v>
      </c>
      <c r="L1214" s="13"/>
      <c r="M1214" s="17"/>
      <c r="N1214" s="161" t="s">
        <v>2372</v>
      </c>
      <c r="O1214" s="17" t="s">
        <v>2373</v>
      </c>
      <c r="P1214" s="17" t="s">
        <v>2374</v>
      </c>
      <c r="Q1214" s="17"/>
      <c r="R1214" s="17"/>
      <c r="S1214" s="17"/>
      <c r="T1214" s="124"/>
      <c r="U1214" s="124"/>
      <c r="V1214" s="124"/>
      <c r="W1214" s="124"/>
      <c r="X1214" s="124"/>
      <c r="Y1214" s="19">
        <v>100</v>
      </c>
      <c r="Z1214" s="19">
        <v>100</v>
      </c>
      <c r="AA1214" s="22">
        <v>675394500</v>
      </c>
      <c r="AB1214" s="19">
        <f t="shared" si="416"/>
        <v>93.157862068965514</v>
      </c>
      <c r="AC1214" s="20"/>
      <c r="AD1214" s="19">
        <f t="shared" si="417"/>
        <v>0</v>
      </c>
    </row>
    <row r="1215" spans="1:30" s="89" customFormat="1" ht="23.25" customHeight="1">
      <c r="A1215" s="723"/>
      <c r="B1215" s="13">
        <f>B1214+1</f>
        <v>150</v>
      </c>
      <c r="C1215" s="174"/>
      <c r="D1215" s="21" t="s">
        <v>2154</v>
      </c>
      <c r="E1215" s="204"/>
      <c r="F1215" s="204"/>
      <c r="G1215" s="59"/>
      <c r="I1215" s="193"/>
      <c r="J1215" s="15"/>
      <c r="K1215" s="721">
        <v>200000000</v>
      </c>
      <c r="L1215" s="13"/>
      <c r="M1215" s="17"/>
      <c r="N1215" s="161"/>
      <c r="O1215" s="50"/>
      <c r="P1215" s="17"/>
      <c r="Q1215" s="17"/>
      <c r="R1215" s="17"/>
      <c r="S1215" s="17"/>
      <c r="T1215" s="124"/>
      <c r="U1215" s="124"/>
      <c r="V1215" s="124"/>
      <c r="W1215" s="124"/>
      <c r="X1215" s="124"/>
      <c r="Y1215" s="19">
        <v>100</v>
      </c>
      <c r="Z1215" s="19">
        <v>100</v>
      </c>
      <c r="AA1215" s="22">
        <v>199527000</v>
      </c>
      <c r="AB1215" s="19">
        <f t="shared" si="416"/>
        <v>99.763500000000008</v>
      </c>
      <c r="AC1215" s="20"/>
      <c r="AD1215" s="19">
        <f t="shared" si="417"/>
        <v>0</v>
      </c>
    </row>
    <row r="1216" spans="1:30" s="89" customFormat="1" ht="30" customHeight="1">
      <c r="A1216" s="723"/>
      <c r="B1216" s="13">
        <f t="shared" ref="B1216:B1219" si="422">B1215+1</f>
        <v>151</v>
      </c>
      <c r="C1216" s="174"/>
      <c r="D1216" s="21" t="s">
        <v>2155</v>
      </c>
      <c r="E1216" s="204"/>
      <c r="F1216" s="204"/>
      <c r="G1216" s="59"/>
      <c r="I1216" s="193"/>
      <c r="J1216" s="15"/>
      <c r="K1216" s="25">
        <v>5900000</v>
      </c>
      <c r="L1216" s="13"/>
      <c r="M1216" s="17"/>
      <c r="N1216" s="161"/>
      <c r="O1216" s="50"/>
      <c r="P1216" s="17"/>
      <c r="Q1216" s="17"/>
      <c r="R1216" s="17"/>
      <c r="S1216" s="17"/>
      <c r="T1216" s="124"/>
      <c r="U1216" s="124"/>
      <c r="V1216" s="124"/>
      <c r="W1216" s="124"/>
      <c r="X1216" s="124"/>
      <c r="Y1216" s="19">
        <v>100</v>
      </c>
      <c r="Z1216" s="19">
        <v>100</v>
      </c>
      <c r="AA1216" s="22"/>
      <c r="AB1216" s="19">
        <f t="shared" si="416"/>
        <v>0</v>
      </c>
      <c r="AC1216" s="20"/>
      <c r="AD1216" s="19">
        <f t="shared" si="417"/>
        <v>0</v>
      </c>
    </row>
    <row r="1217" spans="1:30" s="89" customFormat="1" ht="33.75" customHeight="1">
      <c r="A1217" s="723"/>
      <c r="B1217" s="13">
        <f t="shared" si="422"/>
        <v>152</v>
      </c>
      <c r="C1217" s="174"/>
      <c r="D1217" s="21" t="s">
        <v>2156</v>
      </c>
      <c r="E1217" s="204"/>
      <c r="F1217" s="204"/>
      <c r="G1217" s="59"/>
      <c r="I1217" s="193"/>
      <c r="J1217" s="15"/>
      <c r="K1217" s="25">
        <v>150000000</v>
      </c>
      <c r="L1217" s="13"/>
      <c r="M1217" s="17"/>
      <c r="N1217" s="161" t="s">
        <v>2375</v>
      </c>
      <c r="O1217" s="17" t="s">
        <v>2376</v>
      </c>
      <c r="P1217" s="17" t="s">
        <v>2374</v>
      </c>
      <c r="Q1217" s="17"/>
      <c r="R1217" s="17"/>
      <c r="S1217" s="17"/>
      <c r="T1217" s="124"/>
      <c r="U1217" s="124"/>
      <c r="V1217" s="124"/>
      <c r="W1217" s="124"/>
      <c r="X1217" s="124"/>
      <c r="Y1217" s="19">
        <v>100</v>
      </c>
      <c r="Z1217" s="19">
        <v>100</v>
      </c>
      <c r="AA1217" s="22">
        <v>149940000</v>
      </c>
      <c r="AB1217" s="19">
        <f t="shared" si="416"/>
        <v>99.960000000000008</v>
      </c>
      <c r="AC1217" s="20"/>
      <c r="AD1217" s="19">
        <f t="shared" si="417"/>
        <v>0</v>
      </c>
    </row>
    <row r="1218" spans="1:30" s="89" customFormat="1" ht="31.5" customHeight="1">
      <c r="A1218" s="723"/>
      <c r="B1218" s="13">
        <f t="shared" si="422"/>
        <v>153</v>
      </c>
      <c r="C1218" s="174"/>
      <c r="D1218" s="21" t="s">
        <v>2157</v>
      </c>
      <c r="E1218" s="204"/>
      <c r="F1218" s="204"/>
      <c r="G1218" s="59"/>
      <c r="I1218" s="193"/>
      <c r="J1218" s="15"/>
      <c r="K1218" s="25">
        <v>124000000</v>
      </c>
      <c r="L1218" s="13"/>
      <c r="M1218" s="17"/>
      <c r="N1218" s="161" t="s">
        <v>2377</v>
      </c>
      <c r="O1218" s="17" t="s">
        <v>2376</v>
      </c>
      <c r="P1218" s="17" t="s">
        <v>2374</v>
      </c>
      <c r="Q1218" s="17"/>
      <c r="R1218" s="17"/>
      <c r="S1218" s="17"/>
      <c r="T1218" s="124"/>
      <c r="U1218" s="124"/>
      <c r="V1218" s="124"/>
      <c r="W1218" s="124"/>
      <c r="X1218" s="124"/>
      <c r="Y1218" s="19">
        <v>100</v>
      </c>
      <c r="Z1218" s="19">
        <v>100</v>
      </c>
      <c r="AA1218" s="22">
        <v>123762000</v>
      </c>
      <c r="AB1218" s="19">
        <f t="shared" si="416"/>
        <v>99.808064516129036</v>
      </c>
      <c r="AC1218" s="20"/>
      <c r="AD1218" s="19">
        <f t="shared" si="417"/>
        <v>0</v>
      </c>
    </row>
    <row r="1219" spans="1:30" s="89" customFormat="1" ht="33" customHeight="1">
      <c r="A1219" s="723"/>
      <c r="B1219" s="13">
        <f t="shared" si="422"/>
        <v>154</v>
      </c>
      <c r="C1219" s="174"/>
      <c r="D1219" s="21" t="s">
        <v>2158</v>
      </c>
      <c r="E1219" s="204"/>
      <c r="F1219" s="204"/>
      <c r="G1219" s="59"/>
      <c r="I1219" s="193"/>
      <c r="J1219" s="15"/>
      <c r="K1219" s="25">
        <v>123000000</v>
      </c>
      <c r="L1219" s="13"/>
      <c r="M1219" s="17"/>
      <c r="N1219" s="161"/>
      <c r="O1219" s="50"/>
      <c r="P1219" s="17"/>
      <c r="Q1219" s="17"/>
      <c r="R1219" s="17"/>
      <c r="S1219" s="17"/>
      <c r="T1219" s="124"/>
      <c r="U1219" s="124"/>
      <c r="V1219" s="124"/>
      <c r="W1219" s="124"/>
      <c r="X1219" s="124"/>
      <c r="Y1219" s="19">
        <v>100</v>
      </c>
      <c r="Z1219" s="19">
        <v>100</v>
      </c>
      <c r="AA1219" s="22">
        <v>122902000</v>
      </c>
      <c r="AB1219" s="19">
        <f t="shared" si="416"/>
        <v>99.920325203252034</v>
      </c>
      <c r="AC1219" s="20"/>
      <c r="AD1219" s="19">
        <f t="shared" si="417"/>
        <v>0</v>
      </c>
    </row>
    <row r="1220" spans="1:30" s="89" customFormat="1" ht="21.75" customHeight="1">
      <c r="A1220" s="723"/>
      <c r="B1220" s="13"/>
      <c r="C1220" s="174"/>
      <c r="D1220" s="14" t="s">
        <v>1465</v>
      </c>
      <c r="E1220" s="204"/>
      <c r="F1220" s="204"/>
      <c r="G1220" s="59"/>
      <c r="I1220" s="193"/>
      <c r="J1220" s="15"/>
      <c r="K1220" s="25"/>
      <c r="L1220" s="13"/>
      <c r="M1220" s="17"/>
      <c r="N1220" s="161"/>
      <c r="O1220" s="50"/>
      <c r="P1220" s="17"/>
      <c r="Q1220" s="17"/>
      <c r="R1220" s="17"/>
      <c r="S1220" s="17"/>
      <c r="T1220" s="124"/>
      <c r="U1220" s="124"/>
      <c r="V1220" s="124"/>
      <c r="W1220" s="124"/>
      <c r="X1220" s="124"/>
      <c r="Y1220" s="19"/>
      <c r="Z1220" s="19"/>
      <c r="AA1220" s="22"/>
      <c r="AB1220" s="19"/>
      <c r="AC1220" s="20"/>
      <c r="AD1220" s="19"/>
    </row>
    <row r="1221" spans="1:30" s="89" customFormat="1" ht="39.75" customHeight="1">
      <c r="A1221" s="723"/>
      <c r="B1221" s="13"/>
      <c r="C1221" s="174"/>
      <c r="D1221" s="14" t="s">
        <v>2159</v>
      </c>
      <c r="E1221" s="204"/>
      <c r="F1221" s="204"/>
      <c r="G1221" s="59"/>
      <c r="I1221" s="193"/>
      <c r="J1221" s="15"/>
      <c r="K1221" s="25"/>
      <c r="L1221" s="13"/>
      <c r="M1221" s="17"/>
      <c r="N1221" s="161"/>
      <c r="O1221" s="50"/>
      <c r="P1221" s="17"/>
      <c r="Q1221" s="17"/>
      <c r="R1221" s="17"/>
      <c r="S1221" s="17"/>
      <c r="T1221" s="124"/>
      <c r="U1221" s="124"/>
      <c r="V1221" s="124"/>
      <c r="W1221" s="124"/>
      <c r="X1221" s="124"/>
      <c r="Y1221" s="19"/>
      <c r="Z1221" s="19"/>
      <c r="AA1221" s="22"/>
      <c r="AB1221" s="19"/>
      <c r="AC1221" s="20"/>
      <c r="AD1221" s="19"/>
    </row>
    <row r="1222" spans="1:30" s="89" customFormat="1" ht="32.25" customHeight="1">
      <c r="A1222" s="723"/>
      <c r="B1222" s="13">
        <f>B1219+1</f>
        <v>155</v>
      </c>
      <c r="C1222" s="174"/>
      <c r="D1222" s="21" t="s">
        <v>2160</v>
      </c>
      <c r="E1222" s="204"/>
      <c r="F1222" s="204"/>
      <c r="G1222" s="59"/>
      <c r="I1222" s="193"/>
      <c r="J1222" s="15"/>
      <c r="K1222" s="25">
        <v>318646000</v>
      </c>
      <c r="L1222" s="13"/>
      <c r="M1222" s="17"/>
      <c r="N1222" s="161"/>
      <c r="O1222" s="50"/>
      <c r="P1222" s="17"/>
      <c r="Q1222" s="17"/>
      <c r="R1222" s="17"/>
      <c r="S1222" s="17"/>
      <c r="T1222" s="124"/>
      <c r="U1222" s="124"/>
      <c r="V1222" s="124"/>
      <c r="W1222" s="124"/>
      <c r="X1222" s="124"/>
      <c r="Y1222" s="19">
        <v>100</v>
      </c>
      <c r="Z1222" s="19">
        <v>100</v>
      </c>
      <c r="AA1222" s="22">
        <v>316184400</v>
      </c>
      <c r="AB1222" s="19">
        <f t="shared" si="416"/>
        <v>99.227481280166714</v>
      </c>
      <c r="AC1222" s="20">
        <f>AA1222</f>
        <v>316184400</v>
      </c>
      <c r="AD1222" s="19">
        <f t="shared" si="417"/>
        <v>99.227481280166714</v>
      </c>
    </row>
    <row r="1223" spans="1:30" s="89" customFormat="1" ht="30.75" customHeight="1">
      <c r="A1223" s="723"/>
      <c r="B1223" s="13">
        <f>B1222+1</f>
        <v>156</v>
      </c>
      <c r="C1223" s="174"/>
      <c r="D1223" s="21" t="s">
        <v>2161</v>
      </c>
      <c r="E1223" s="204"/>
      <c r="F1223" s="204"/>
      <c r="G1223" s="59"/>
      <c r="I1223" s="193"/>
      <c r="J1223" s="15"/>
      <c r="K1223" s="25">
        <v>52500000</v>
      </c>
      <c r="L1223" s="13"/>
      <c r="M1223" s="17"/>
      <c r="N1223" s="161"/>
      <c r="O1223" s="50"/>
      <c r="P1223" s="17"/>
      <c r="Q1223" s="17"/>
      <c r="R1223" s="17"/>
      <c r="S1223" s="17"/>
      <c r="T1223" s="124"/>
      <c r="U1223" s="124"/>
      <c r="V1223" s="124"/>
      <c r="W1223" s="124"/>
      <c r="X1223" s="124"/>
      <c r="Y1223" s="19">
        <v>100</v>
      </c>
      <c r="Z1223" s="19">
        <v>100</v>
      </c>
      <c r="AA1223" s="22">
        <v>48875000</v>
      </c>
      <c r="AB1223" s="19">
        <f t="shared" ref="AB1223:AB1284" si="423">AA1223/K1223*100</f>
        <v>93.095238095238102</v>
      </c>
      <c r="AC1223" s="20"/>
      <c r="AD1223" s="19">
        <f t="shared" ref="AD1223:AD1284" si="424">AC1223/K1223*100</f>
        <v>0</v>
      </c>
    </row>
    <row r="1224" spans="1:30" s="89" customFormat="1" ht="27" customHeight="1">
      <c r="A1224" s="723"/>
      <c r="B1224" s="13">
        <f t="shared" ref="B1224:B1261" si="425">B1223+1</f>
        <v>157</v>
      </c>
      <c r="C1224" s="174"/>
      <c r="D1224" s="21" t="s">
        <v>2162</v>
      </c>
      <c r="E1224" s="204"/>
      <c r="F1224" s="204"/>
      <c r="G1224" s="59"/>
      <c r="I1224" s="193"/>
      <c r="J1224" s="15"/>
      <c r="K1224" s="25">
        <v>400000000</v>
      </c>
      <c r="L1224" s="13"/>
      <c r="M1224" s="17"/>
      <c r="N1224" s="161"/>
      <c r="O1224" s="50"/>
      <c r="P1224" s="17"/>
      <c r="Q1224" s="17"/>
      <c r="R1224" s="17"/>
      <c r="S1224" s="17"/>
      <c r="T1224" s="124"/>
      <c r="U1224" s="124"/>
      <c r="V1224" s="124"/>
      <c r="W1224" s="124"/>
      <c r="X1224" s="124"/>
      <c r="Y1224" s="19">
        <v>0</v>
      </c>
      <c r="Z1224" s="19">
        <v>0</v>
      </c>
      <c r="AA1224" s="22">
        <v>8092000</v>
      </c>
      <c r="AB1224" s="19">
        <f t="shared" si="423"/>
        <v>2.0230000000000001</v>
      </c>
      <c r="AC1224" s="20"/>
      <c r="AD1224" s="19">
        <f t="shared" si="424"/>
        <v>0</v>
      </c>
    </row>
    <row r="1225" spans="1:30" s="89" customFormat="1" ht="29.25" customHeight="1">
      <c r="A1225" s="723"/>
      <c r="B1225" s="13">
        <f t="shared" si="425"/>
        <v>158</v>
      </c>
      <c r="C1225" s="174"/>
      <c r="D1225" s="21" t="s">
        <v>2163</v>
      </c>
      <c r="E1225" s="204"/>
      <c r="F1225" s="204"/>
      <c r="G1225" s="59"/>
      <c r="I1225" s="193"/>
      <c r="J1225" s="15"/>
      <c r="K1225" s="25">
        <v>200000000</v>
      </c>
      <c r="L1225" s="13"/>
      <c r="M1225" s="17"/>
      <c r="N1225" s="161"/>
      <c r="O1225" s="50"/>
      <c r="P1225" s="17"/>
      <c r="Q1225" s="17"/>
      <c r="R1225" s="17"/>
      <c r="S1225" s="17"/>
      <c r="T1225" s="124"/>
      <c r="U1225" s="124"/>
      <c r="V1225" s="124"/>
      <c r="W1225" s="124"/>
      <c r="X1225" s="124"/>
      <c r="Y1225" s="19">
        <v>100</v>
      </c>
      <c r="Z1225" s="19">
        <v>100</v>
      </c>
      <c r="AA1225" s="22">
        <v>199443000</v>
      </c>
      <c r="AB1225" s="19">
        <f t="shared" si="423"/>
        <v>99.721499999999992</v>
      </c>
      <c r="AC1225" s="20"/>
      <c r="AD1225" s="19">
        <f t="shared" si="424"/>
        <v>0</v>
      </c>
    </row>
    <row r="1226" spans="1:30" s="89" customFormat="1" ht="30.75" customHeight="1">
      <c r="A1226" s="723"/>
      <c r="B1226" s="13">
        <f t="shared" si="425"/>
        <v>159</v>
      </c>
      <c r="C1226" s="174"/>
      <c r="D1226" s="21" t="s">
        <v>2164</v>
      </c>
      <c r="E1226" s="204"/>
      <c r="F1226" s="204"/>
      <c r="G1226" s="59"/>
      <c r="I1226" s="193"/>
      <c r="J1226" s="15"/>
      <c r="K1226" s="25">
        <v>750000000</v>
      </c>
      <c r="L1226" s="13"/>
      <c r="M1226" s="17"/>
      <c r="N1226" s="161"/>
      <c r="O1226" s="50"/>
      <c r="P1226" s="17"/>
      <c r="Q1226" s="17"/>
      <c r="R1226" s="17"/>
      <c r="S1226" s="17"/>
      <c r="T1226" s="124"/>
      <c r="U1226" s="124"/>
      <c r="V1226" s="124"/>
      <c r="W1226" s="124"/>
      <c r="X1226" s="124"/>
      <c r="Y1226" s="19">
        <v>0</v>
      </c>
      <c r="Z1226" s="19">
        <v>0</v>
      </c>
      <c r="AA1226" s="22">
        <v>13661200</v>
      </c>
      <c r="AB1226" s="19">
        <f t="shared" si="423"/>
        <v>1.8214933333333332</v>
      </c>
      <c r="AC1226" s="20"/>
      <c r="AD1226" s="19">
        <f t="shared" si="424"/>
        <v>0</v>
      </c>
    </row>
    <row r="1227" spans="1:30" s="89" customFormat="1" ht="21" customHeight="1">
      <c r="A1227" s="723"/>
      <c r="B1227" s="13">
        <f t="shared" si="425"/>
        <v>160</v>
      </c>
      <c r="C1227" s="174"/>
      <c r="D1227" s="21" t="s">
        <v>2165</v>
      </c>
      <c r="E1227" s="204"/>
      <c r="F1227" s="204"/>
      <c r="G1227" s="59"/>
      <c r="I1227" s="193"/>
      <c r="J1227" s="15"/>
      <c r="K1227" s="25">
        <v>4000000000</v>
      </c>
      <c r="L1227" s="13"/>
      <c r="M1227" s="17"/>
      <c r="N1227" s="161"/>
      <c r="O1227" s="50"/>
      <c r="P1227" s="17"/>
      <c r="Q1227" s="17"/>
      <c r="R1227" s="17"/>
      <c r="S1227" s="17"/>
      <c r="T1227" s="124"/>
      <c r="U1227" s="124"/>
      <c r="V1227" s="124"/>
      <c r="W1227" s="124"/>
      <c r="X1227" s="124"/>
      <c r="Y1227" s="19">
        <v>100</v>
      </c>
      <c r="Z1227" s="19">
        <v>100</v>
      </c>
      <c r="AA1227" s="22">
        <v>3946977314</v>
      </c>
      <c r="AB1227" s="19">
        <f t="shared" si="423"/>
        <v>98.674432850000002</v>
      </c>
      <c r="AC1227" s="20">
        <f>AA1227</f>
        <v>3946977314</v>
      </c>
      <c r="AD1227" s="19">
        <f t="shared" si="424"/>
        <v>98.674432850000002</v>
      </c>
    </row>
    <row r="1228" spans="1:30" s="89" customFormat="1" ht="21" customHeight="1">
      <c r="A1228" s="723"/>
      <c r="B1228" s="13">
        <f t="shared" si="425"/>
        <v>161</v>
      </c>
      <c r="C1228" s="174"/>
      <c r="D1228" s="21" t="s">
        <v>2186</v>
      </c>
      <c r="E1228" s="204"/>
      <c r="F1228" s="204"/>
      <c r="G1228" s="59"/>
      <c r="I1228" s="193"/>
      <c r="J1228" s="15"/>
      <c r="K1228" s="25">
        <v>1959206000</v>
      </c>
      <c r="L1228" s="13"/>
      <c r="M1228" s="17"/>
      <c r="N1228" s="161"/>
      <c r="O1228" s="50"/>
      <c r="P1228" s="17"/>
      <c r="Q1228" s="17"/>
      <c r="R1228" s="17"/>
      <c r="S1228" s="17"/>
      <c r="T1228" s="124"/>
      <c r="U1228" s="124"/>
      <c r="V1228" s="124"/>
      <c r="W1228" s="124"/>
      <c r="X1228" s="124"/>
      <c r="Y1228" s="19">
        <v>100</v>
      </c>
      <c r="Z1228" s="19">
        <v>100</v>
      </c>
      <c r="AA1228" s="22">
        <v>1956921000</v>
      </c>
      <c r="AB1228" s="19">
        <f t="shared" si="423"/>
        <v>99.883371120749942</v>
      </c>
      <c r="AC1228" s="20">
        <f>AA1228</f>
        <v>1956921000</v>
      </c>
      <c r="AD1228" s="19">
        <f t="shared" si="424"/>
        <v>99.883371120749942</v>
      </c>
    </row>
    <row r="1229" spans="1:30" s="89" customFormat="1" ht="17.25" customHeight="1">
      <c r="A1229" s="723"/>
      <c r="B1229" s="13">
        <f t="shared" si="425"/>
        <v>162</v>
      </c>
      <c r="C1229" s="174"/>
      <c r="D1229" s="21" t="s">
        <v>2166</v>
      </c>
      <c r="E1229" s="204"/>
      <c r="F1229" s="204"/>
      <c r="G1229" s="59"/>
      <c r="I1229" s="193"/>
      <c r="J1229" s="15"/>
      <c r="K1229" s="25">
        <v>1755656000</v>
      </c>
      <c r="L1229" s="13"/>
      <c r="M1229" s="17"/>
      <c r="N1229" s="161"/>
      <c r="O1229" s="50"/>
      <c r="P1229" s="17"/>
      <c r="Q1229" s="17"/>
      <c r="R1229" s="17"/>
      <c r="S1229" s="17"/>
      <c r="T1229" s="124"/>
      <c r="U1229" s="124"/>
      <c r="V1229" s="124"/>
      <c r="W1229" s="124"/>
      <c r="X1229" s="124"/>
      <c r="Y1229" s="19">
        <v>100</v>
      </c>
      <c r="Z1229" s="19">
        <v>100</v>
      </c>
      <c r="AA1229" s="22">
        <v>1750155000</v>
      </c>
      <c r="AB1229" s="19">
        <f t="shared" si="423"/>
        <v>99.686669825979578</v>
      </c>
      <c r="AC1229" s="20">
        <f>AA1229</f>
        <v>1750155000</v>
      </c>
      <c r="AD1229" s="19">
        <f t="shared" si="424"/>
        <v>99.686669825979578</v>
      </c>
    </row>
    <row r="1230" spans="1:30" s="89" customFormat="1" ht="27" customHeight="1">
      <c r="A1230" s="723"/>
      <c r="B1230" s="13">
        <f t="shared" si="425"/>
        <v>163</v>
      </c>
      <c r="C1230" s="174"/>
      <c r="D1230" s="21" t="s">
        <v>2167</v>
      </c>
      <c r="E1230" s="204"/>
      <c r="F1230" s="204"/>
      <c r="G1230" s="59"/>
      <c r="I1230" s="193"/>
      <c r="J1230" s="15"/>
      <c r="K1230" s="25">
        <v>170000000</v>
      </c>
      <c r="L1230" s="13"/>
      <c r="M1230" s="17"/>
      <c r="N1230" s="161"/>
      <c r="O1230" s="50"/>
      <c r="P1230" s="17"/>
      <c r="Q1230" s="17"/>
      <c r="R1230" s="17"/>
      <c r="S1230" s="17"/>
      <c r="T1230" s="124"/>
      <c r="U1230" s="124"/>
      <c r="V1230" s="124"/>
      <c r="W1230" s="124"/>
      <c r="X1230" s="124"/>
      <c r="Y1230" s="19">
        <v>100</v>
      </c>
      <c r="Z1230" s="19">
        <v>100</v>
      </c>
      <c r="AA1230" s="22">
        <v>169594000</v>
      </c>
      <c r="AB1230" s="19">
        <f t="shared" si="423"/>
        <v>99.761176470588225</v>
      </c>
      <c r="AC1230" s="20"/>
      <c r="AD1230" s="19">
        <f t="shared" si="424"/>
        <v>0</v>
      </c>
    </row>
    <row r="1231" spans="1:30" s="89" customFormat="1" ht="27.75" customHeight="1">
      <c r="A1231" s="723"/>
      <c r="B1231" s="13">
        <f t="shared" si="425"/>
        <v>164</v>
      </c>
      <c r="C1231" s="174"/>
      <c r="D1231" s="21" t="s">
        <v>2168</v>
      </c>
      <c r="E1231" s="204"/>
      <c r="F1231" s="204"/>
      <c r="G1231" s="59"/>
      <c r="I1231" s="193"/>
      <c r="J1231" s="15"/>
      <c r="K1231" s="25">
        <v>1214828000</v>
      </c>
      <c r="L1231" s="13"/>
      <c r="M1231" s="17"/>
      <c r="N1231" s="161"/>
      <c r="O1231" s="50"/>
      <c r="P1231" s="17"/>
      <c r="Q1231" s="17"/>
      <c r="R1231" s="17"/>
      <c r="S1231" s="17"/>
      <c r="T1231" s="124"/>
      <c r="U1231" s="124"/>
      <c r="V1231" s="124"/>
      <c r="W1231" s="124"/>
      <c r="X1231" s="124"/>
      <c r="Y1231" s="19">
        <v>100</v>
      </c>
      <c r="Z1231" s="19">
        <v>100</v>
      </c>
      <c r="AA1231" s="22">
        <v>1209263000</v>
      </c>
      <c r="AB1231" s="19">
        <f t="shared" si="423"/>
        <v>99.54191045975233</v>
      </c>
      <c r="AC1231" s="20">
        <f t="shared" ref="AC1231:AC1261" si="426">AA1231</f>
        <v>1209263000</v>
      </c>
      <c r="AD1231" s="19">
        <f t="shared" si="424"/>
        <v>99.54191045975233</v>
      </c>
    </row>
    <row r="1232" spans="1:30" s="89" customFormat="1" ht="19.5" customHeight="1">
      <c r="A1232" s="723"/>
      <c r="B1232" s="13">
        <f t="shared" si="425"/>
        <v>165</v>
      </c>
      <c r="C1232" s="174"/>
      <c r="D1232" s="21" t="s">
        <v>2169</v>
      </c>
      <c r="E1232" s="204"/>
      <c r="F1232" s="204"/>
      <c r="G1232" s="59"/>
      <c r="I1232" s="193"/>
      <c r="J1232" s="15"/>
      <c r="K1232" s="25">
        <v>946600000</v>
      </c>
      <c r="L1232" s="13"/>
      <c r="M1232" s="17"/>
      <c r="N1232" s="161"/>
      <c r="O1232" s="50"/>
      <c r="P1232" s="17"/>
      <c r="Q1232" s="17"/>
      <c r="R1232" s="17"/>
      <c r="S1232" s="17"/>
      <c r="T1232" s="124"/>
      <c r="U1232" s="124"/>
      <c r="V1232" s="124"/>
      <c r="W1232" s="124"/>
      <c r="X1232" s="124"/>
      <c r="Y1232" s="19">
        <v>100</v>
      </c>
      <c r="Z1232" s="19">
        <v>100</v>
      </c>
      <c r="AA1232" s="22">
        <v>938368000</v>
      </c>
      <c r="AB1232" s="19">
        <f t="shared" si="423"/>
        <v>99.130361293048807</v>
      </c>
      <c r="AC1232" s="20">
        <f t="shared" si="426"/>
        <v>938368000</v>
      </c>
      <c r="AD1232" s="19">
        <f t="shared" si="424"/>
        <v>99.130361293048807</v>
      </c>
    </row>
    <row r="1233" spans="1:30" s="89" customFormat="1" ht="30" customHeight="1">
      <c r="A1233" s="723"/>
      <c r="B1233" s="13">
        <f t="shared" si="425"/>
        <v>166</v>
      </c>
      <c r="C1233" s="174"/>
      <c r="D1233" s="21" t="s">
        <v>2170</v>
      </c>
      <c r="E1233" s="204"/>
      <c r="F1233" s="204"/>
      <c r="G1233" s="59"/>
      <c r="I1233" s="193"/>
      <c r="J1233" s="15"/>
      <c r="K1233" s="25">
        <v>190000000</v>
      </c>
      <c r="L1233" s="13"/>
      <c r="M1233" s="17"/>
      <c r="N1233" s="161"/>
      <c r="O1233" s="50"/>
      <c r="P1233" s="17"/>
      <c r="Q1233" s="17"/>
      <c r="R1233" s="17"/>
      <c r="S1233" s="17"/>
      <c r="T1233" s="124"/>
      <c r="U1233" s="124"/>
      <c r="V1233" s="124"/>
      <c r="W1233" s="124"/>
      <c r="X1233" s="124"/>
      <c r="Y1233" s="19">
        <v>100</v>
      </c>
      <c r="Z1233" s="19">
        <v>100</v>
      </c>
      <c r="AA1233" s="22">
        <v>189993000</v>
      </c>
      <c r="AB1233" s="19">
        <f t="shared" si="423"/>
        <v>99.996315789473684</v>
      </c>
      <c r="AC1233" s="20">
        <f t="shared" si="426"/>
        <v>189993000</v>
      </c>
      <c r="AD1233" s="19">
        <f t="shared" si="424"/>
        <v>99.996315789473684</v>
      </c>
    </row>
    <row r="1234" spans="1:30" s="89" customFormat="1" ht="18.75" customHeight="1">
      <c r="A1234" s="723"/>
      <c r="B1234" s="13">
        <f t="shared" si="425"/>
        <v>167</v>
      </c>
      <c r="C1234" s="174"/>
      <c r="D1234" s="21" t="s">
        <v>2171</v>
      </c>
      <c r="E1234" s="204"/>
      <c r="F1234" s="204"/>
      <c r="G1234" s="59"/>
      <c r="I1234" s="193"/>
      <c r="J1234" s="15"/>
      <c r="K1234" s="25">
        <v>2179780000</v>
      </c>
      <c r="L1234" s="13"/>
      <c r="M1234" s="17"/>
      <c r="N1234" s="161"/>
      <c r="O1234" s="50"/>
      <c r="P1234" s="17"/>
      <c r="Q1234" s="17"/>
      <c r="R1234" s="17"/>
      <c r="S1234" s="17"/>
      <c r="T1234" s="124"/>
      <c r="U1234" s="124"/>
      <c r="V1234" s="124"/>
      <c r="W1234" s="124"/>
      <c r="X1234" s="124"/>
      <c r="Y1234" s="19">
        <v>100</v>
      </c>
      <c r="Z1234" s="19">
        <v>100</v>
      </c>
      <c r="AA1234" s="22">
        <v>2153574000</v>
      </c>
      <c r="AB1234" s="19">
        <f t="shared" si="423"/>
        <v>98.797768582150496</v>
      </c>
      <c r="AC1234" s="20">
        <f t="shared" si="426"/>
        <v>2153574000</v>
      </c>
      <c r="AD1234" s="19">
        <f t="shared" si="424"/>
        <v>98.797768582150496</v>
      </c>
    </row>
    <row r="1235" spans="1:30" s="89" customFormat="1" ht="18.75" customHeight="1">
      <c r="A1235" s="723"/>
      <c r="B1235" s="13">
        <f t="shared" si="425"/>
        <v>168</v>
      </c>
      <c r="C1235" s="174"/>
      <c r="D1235" s="21" t="s">
        <v>2172</v>
      </c>
      <c r="E1235" s="204"/>
      <c r="F1235" s="204"/>
      <c r="G1235" s="59"/>
      <c r="I1235" s="193"/>
      <c r="J1235" s="15"/>
      <c r="K1235" s="25">
        <v>367712000</v>
      </c>
      <c r="L1235" s="13"/>
      <c r="M1235" s="17"/>
      <c r="N1235" s="161"/>
      <c r="O1235" s="50"/>
      <c r="P1235" s="17"/>
      <c r="Q1235" s="17"/>
      <c r="R1235" s="17"/>
      <c r="S1235" s="17"/>
      <c r="T1235" s="124"/>
      <c r="U1235" s="124"/>
      <c r="V1235" s="124"/>
      <c r="W1235" s="124"/>
      <c r="X1235" s="124"/>
      <c r="Y1235" s="19">
        <v>100</v>
      </c>
      <c r="Z1235" s="19">
        <v>100</v>
      </c>
      <c r="AA1235" s="22">
        <v>314280000</v>
      </c>
      <c r="AB1235" s="19">
        <f t="shared" si="423"/>
        <v>85.469062744756769</v>
      </c>
      <c r="AC1235" s="20">
        <f t="shared" si="426"/>
        <v>314280000</v>
      </c>
      <c r="AD1235" s="19">
        <f t="shared" si="424"/>
        <v>85.469062744756769</v>
      </c>
    </row>
    <row r="1236" spans="1:30" s="89" customFormat="1" ht="19.5" customHeight="1">
      <c r="A1236" s="723"/>
      <c r="B1236" s="13">
        <f t="shared" si="425"/>
        <v>169</v>
      </c>
      <c r="C1236" s="174"/>
      <c r="D1236" s="21" t="s">
        <v>2173</v>
      </c>
      <c r="E1236" s="204"/>
      <c r="F1236" s="204"/>
      <c r="G1236" s="59"/>
      <c r="I1236" s="193"/>
      <c r="J1236" s="15"/>
      <c r="K1236" s="25">
        <v>500000000</v>
      </c>
      <c r="L1236" s="13"/>
      <c r="M1236" s="17"/>
      <c r="N1236" s="161"/>
      <c r="O1236" s="50"/>
      <c r="P1236" s="17"/>
      <c r="Q1236" s="17"/>
      <c r="R1236" s="17"/>
      <c r="S1236" s="17"/>
      <c r="T1236" s="124"/>
      <c r="U1236" s="124"/>
      <c r="V1236" s="124"/>
      <c r="W1236" s="124"/>
      <c r="X1236" s="124"/>
      <c r="Y1236" s="19">
        <v>100</v>
      </c>
      <c r="Z1236" s="19">
        <v>100</v>
      </c>
      <c r="AA1236" s="22">
        <v>422069000</v>
      </c>
      <c r="AB1236" s="19">
        <f t="shared" si="423"/>
        <v>84.413800000000009</v>
      </c>
      <c r="AC1236" s="20">
        <f t="shared" si="426"/>
        <v>422069000</v>
      </c>
      <c r="AD1236" s="19">
        <f t="shared" si="424"/>
        <v>84.413800000000009</v>
      </c>
    </row>
    <row r="1237" spans="1:30" s="89" customFormat="1" ht="23.25" customHeight="1">
      <c r="A1237" s="723"/>
      <c r="B1237" s="13">
        <f t="shared" si="425"/>
        <v>170</v>
      </c>
      <c r="C1237" s="174"/>
      <c r="D1237" s="21" t="s">
        <v>2174</v>
      </c>
      <c r="E1237" s="204"/>
      <c r="F1237" s="204"/>
      <c r="G1237" s="59"/>
      <c r="I1237" s="193"/>
      <c r="J1237" s="15"/>
      <c r="K1237" s="25">
        <v>760000000</v>
      </c>
      <c r="L1237" s="13"/>
      <c r="M1237" s="17"/>
      <c r="N1237" s="161"/>
      <c r="O1237" s="50"/>
      <c r="P1237" s="17"/>
      <c r="Q1237" s="17"/>
      <c r="R1237" s="17"/>
      <c r="S1237" s="17"/>
      <c r="T1237" s="124"/>
      <c r="U1237" s="124"/>
      <c r="V1237" s="124"/>
      <c r="W1237" s="124"/>
      <c r="X1237" s="124"/>
      <c r="Y1237" s="19">
        <v>100</v>
      </c>
      <c r="Z1237" s="19">
        <v>100</v>
      </c>
      <c r="AA1237" s="22">
        <v>701299000</v>
      </c>
      <c r="AB1237" s="19">
        <f t="shared" si="423"/>
        <v>92.27618421052631</v>
      </c>
      <c r="AC1237" s="20">
        <f t="shared" si="426"/>
        <v>701299000</v>
      </c>
      <c r="AD1237" s="19">
        <f t="shared" si="424"/>
        <v>92.27618421052631</v>
      </c>
    </row>
    <row r="1238" spans="1:30" s="89" customFormat="1" ht="21.75" customHeight="1">
      <c r="A1238" s="723"/>
      <c r="B1238" s="13">
        <f t="shared" si="425"/>
        <v>171</v>
      </c>
      <c r="C1238" s="174"/>
      <c r="D1238" s="21" t="s">
        <v>2175</v>
      </c>
      <c r="E1238" s="204"/>
      <c r="F1238" s="204"/>
      <c r="G1238" s="59"/>
      <c r="I1238" s="193"/>
      <c r="J1238" s="15"/>
      <c r="K1238" s="25">
        <v>848000000</v>
      </c>
      <c r="L1238" s="13"/>
      <c r="M1238" s="17"/>
      <c r="N1238" s="161"/>
      <c r="O1238" s="50"/>
      <c r="P1238" s="17"/>
      <c r="Q1238" s="17"/>
      <c r="R1238" s="17"/>
      <c r="S1238" s="17"/>
      <c r="T1238" s="124"/>
      <c r="U1238" s="124"/>
      <c r="V1238" s="124"/>
      <c r="W1238" s="124"/>
      <c r="X1238" s="124"/>
      <c r="Y1238" s="19">
        <v>100</v>
      </c>
      <c r="Z1238" s="19">
        <v>100</v>
      </c>
      <c r="AA1238" s="22">
        <v>847200000</v>
      </c>
      <c r="AB1238" s="19">
        <f t="shared" si="423"/>
        <v>99.905660377358487</v>
      </c>
      <c r="AC1238" s="20">
        <f t="shared" si="426"/>
        <v>847200000</v>
      </c>
      <c r="AD1238" s="19">
        <f t="shared" si="424"/>
        <v>99.905660377358487</v>
      </c>
    </row>
    <row r="1239" spans="1:30" s="89" customFormat="1" ht="19.5" customHeight="1">
      <c r="A1239" s="723"/>
      <c r="B1239" s="13">
        <f t="shared" si="425"/>
        <v>172</v>
      </c>
      <c r="C1239" s="174"/>
      <c r="D1239" s="21" t="s">
        <v>2176</v>
      </c>
      <c r="E1239" s="204"/>
      <c r="F1239" s="204"/>
      <c r="G1239" s="59"/>
      <c r="I1239" s="193"/>
      <c r="J1239" s="15"/>
      <c r="K1239" s="25">
        <v>959500000</v>
      </c>
      <c r="L1239" s="13"/>
      <c r="M1239" s="17"/>
      <c r="N1239" s="161"/>
      <c r="O1239" s="50"/>
      <c r="P1239" s="17"/>
      <c r="Q1239" s="17"/>
      <c r="R1239" s="17"/>
      <c r="S1239" s="17"/>
      <c r="T1239" s="124"/>
      <c r="U1239" s="124"/>
      <c r="V1239" s="124"/>
      <c r="W1239" s="124"/>
      <c r="X1239" s="124"/>
      <c r="Y1239" s="19">
        <v>100</v>
      </c>
      <c r="Z1239" s="19">
        <v>100</v>
      </c>
      <c r="AA1239" s="22">
        <v>957154000</v>
      </c>
      <c r="AB1239" s="19">
        <f t="shared" si="423"/>
        <v>99.755497655028663</v>
      </c>
      <c r="AC1239" s="20">
        <f t="shared" si="426"/>
        <v>957154000</v>
      </c>
      <c r="AD1239" s="19">
        <f t="shared" si="424"/>
        <v>99.755497655028663</v>
      </c>
    </row>
    <row r="1240" spans="1:30" s="89" customFormat="1" ht="17.25" customHeight="1">
      <c r="A1240" s="723"/>
      <c r="B1240" s="13">
        <f t="shared" si="425"/>
        <v>173</v>
      </c>
      <c r="C1240" s="174"/>
      <c r="D1240" s="21" t="s">
        <v>2177</v>
      </c>
      <c r="E1240" s="204"/>
      <c r="F1240" s="204"/>
      <c r="G1240" s="59"/>
      <c r="I1240" s="193"/>
      <c r="J1240" s="15"/>
      <c r="K1240" s="25">
        <v>1698000000</v>
      </c>
      <c r="L1240" s="13"/>
      <c r="M1240" s="17"/>
      <c r="N1240" s="161"/>
      <c r="O1240" s="50"/>
      <c r="P1240" s="17"/>
      <c r="Q1240" s="17"/>
      <c r="R1240" s="17"/>
      <c r="S1240" s="17"/>
      <c r="T1240" s="124"/>
      <c r="U1240" s="124"/>
      <c r="V1240" s="124"/>
      <c r="W1240" s="124"/>
      <c r="X1240" s="124"/>
      <c r="Y1240" s="19">
        <v>100</v>
      </c>
      <c r="Z1240" s="19">
        <v>100</v>
      </c>
      <c r="AA1240" s="22">
        <v>1695374000</v>
      </c>
      <c r="AB1240" s="19">
        <f t="shared" si="423"/>
        <v>99.845347467608946</v>
      </c>
      <c r="AC1240" s="20">
        <f t="shared" si="426"/>
        <v>1695374000</v>
      </c>
      <c r="AD1240" s="19">
        <f t="shared" si="424"/>
        <v>99.845347467608946</v>
      </c>
    </row>
    <row r="1241" spans="1:30" s="89" customFormat="1" ht="21" customHeight="1">
      <c r="A1241" s="723"/>
      <c r="B1241" s="13">
        <f t="shared" si="425"/>
        <v>174</v>
      </c>
      <c r="C1241" s="174"/>
      <c r="D1241" s="21" t="s">
        <v>2178</v>
      </c>
      <c r="E1241" s="204"/>
      <c r="F1241" s="204"/>
      <c r="G1241" s="59"/>
      <c r="I1241" s="193"/>
      <c r="J1241" s="15"/>
      <c r="K1241" s="25">
        <v>848000000</v>
      </c>
      <c r="L1241" s="13"/>
      <c r="M1241" s="17"/>
      <c r="N1241" s="161"/>
      <c r="O1241" s="50"/>
      <c r="P1241" s="17"/>
      <c r="Q1241" s="17"/>
      <c r="R1241" s="17"/>
      <c r="S1241" s="17"/>
      <c r="T1241" s="124"/>
      <c r="U1241" s="124"/>
      <c r="V1241" s="124"/>
      <c r="W1241" s="124"/>
      <c r="X1241" s="124"/>
      <c r="Y1241" s="19">
        <v>100</v>
      </c>
      <c r="Z1241" s="19">
        <v>100</v>
      </c>
      <c r="AA1241" s="22">
        <v>845783000</v>
      </c>
      <c r="AB1241" s="19">
        <f t="shared" si="423"/>
        <v>99.738561320754712</v>
      </c>
      <c r="AC1241" s="20">
        <f t="shared" si="426"/>
        <v>845783000</v>
      </c>
      <c r="AD1241" s="19">
        <f t="shared" si="424"/>
        <v>99.738561320754712</v>
      </c>
    </row>
    <row r="1242" spans="1:30" s="89" customFormat="1" ht="17.25" customHeight="1">
      <c r="A1242" s="723"/>
      <c r="B1242" s="13">
        <f t="shared" si="425"/>
        <v>175</v>
      </c>
      <c r="C1242" s="174"/>
      <c r="D1242" s="21" t="s">
        <v>2179</v>
      </c>
      <c r="E1242" s="204"/>
      <c r="F1242" s="204"/>
      <c r="G1242" s="59"/>
      <c r="I1242" s="193"/>
      <c r="J1242" s="15"/>
      <c r="K1242" s="25">
        <v>1880805000</v>
      </c>
      <c r="L1242" s="13"/>
      <c r="M1242" s="17"/>
      <c r="N1242" s="161"/>
      <c r="O1242" s="50"/>
      <c r="P1242" s="17"/>
      <c r="Q1242" s="17"/>
      <c r="R1242" s="17"/>
      <c r="S1242" s="17"/>
      <c r="T1242" s="124"/>
      <c r="U1242" s="124"/>
      <c r="V1242" s="124"/>
      <c r="W1242" s="124"/>
      <c r="X1242" s="124"/>
      <c r="Y1242" s="19">
        <v>100</v>
      </c>
      <c r="Z1242" s="19">
        <v>100</v>
      </c>
      <c r="AA1242" s="22">
        <v>1871020000</v>
      </c>
      <c r="AB1242" s="19">
        <f t="shared" si="423"/>
        <v>99.479744045767632</v>
      </c>
      <c r="AC1242" s="20">
        <f t="shared" si="426"/>
        <v>1871020000</v>
      </c>
      <c r="AD1242" s="19">
        <f t="shared" si="424"/>
        <v>99.479744045767632</v>
      </c>
    </row>
    <row r="1243" spans="1:30" s="89" customFormat="1" ht="17.25" customHeight="1">
      <c r="A1243" s="723"/>
      <c r="B1243" s="13">
        <f t="shared" si="425"/>
        <v>176</v>
      </c>
      <c r="C1243" s="174"/>
      <c r="D1243" s="21" t="s">
        <v>2180</v>
      </c>
      <c r="E1243" s="204"/>
      <c r="F1243" s="204"/>
      <c r="G1243" s="59"/>
      <c r="I1243" s="193"/>
      <c r="J1243" s="15"/>
      <c r="K1243" s="25">
        <v>1312019000</v>
      </c>
      <c r="L1243" s="13"/>
      <c r="M1243" s="17"/>
      <c r="N1243" s="161"/>
      <c r="O1243" s="50"/>
      <c r="P1243" s="17"/>
      <c r="Q1243" s="17"/>
      <c r="R1243" s="17"/>
      <c r="S1243" s="17"/>
      <c r="T1243" s="124"/>
      <c r="U1243" s="124"/>
      <c r="V1243" s="124"/>
      <c r="W1243" s="124"/>
      <c r="X1243" s="124"/>
      <c r="Y1243" s="19">
        <v>100</v>
      </c>
      <c r="Z1243" s="19">
        <v>100</v>
      </c>
      <c r="AA1243" s="22">
        <v>1308833000</v>
      </c>
      <c r="AB1243" s="19">
        <f t="shared" si="423"/>
        <v>99.757168150766105</v>
      </c>
      <c r="AC1243" s="20">
        <f t="shared" si="426"/>
        <v>1308833000</v>
      </c>
      <c r="AD1243" s="19">
        <f t="shared" si="424"/>
        <v>99.757168150766105</v>
      </c>
    </row>
    <row r="1244" spans="1:30" s="89" customFormat="1" ht="27.75" customHeight="1">
      <c r="A1244" s="723"/>
      <c r="B1244" s="13">
        <f t="shared" si="425"/>
        <v>177</v>
      </c>
      <c r="C1244" s="174"/>
      <c r="D1244" s="21" t="s">
        <v>2181</v>
      </c>
      <c r="E1244" s="204"/>
      <c r="F1244" s="204"/>
      <c r="G1244" s="59"/>
      <c r="I1244" s="193"/>
      <c r="J1244" s="15"/>
      <c r="K1244" s="25">
        <v>1005726000</v>
      </c>
      <c r="L1244" s="13"/>
      <c r="M1244" s="17"/>
      <c r="N1244" s="161"/>
      <c r="O1244" s="50"/>
      <c r="P1244" s="17"/>
      <c r="Q1244" s="17"/>
      <c r="R1244" s="17"/>
      <c r="S1244" s="17"/>
      <c r="T1244" s="124"/>
      <c r="U1244" s="124"/>
      <c r="V1244" s="124"/>
      <c r="W1244" s="124"/>
      <c r="X1244" s="124"/>
      <c r="Y1244" s="19">
        <v>100</v>
      </c>
      <c r="Z1244" s="19">
        <v>100</v>
      </c>
      <c r="AA1244" s="22">
        <v>996873000</v>
      </c>
      <c r="AB1244" s="19">
        <f t="shared" si="423"/>
        <v>99.119740366660508</v>
      </c>
      <c r="AC1244" s="20">
        <f t="shared" si="426"/>
        <v>996873000</v>
      </c>
      <c r="AD1244" s="19">
        <f t="shared" si="424"/>
        <v>99.119740366660508</v>
      </c>
    </row>
    <row r="1245" spans="1:30" s="89" customFormat="1" ht="27" customHeight="1">
      <c r="A1245" s="723"/>
      <c r="B1245" s="13">
        <f t="shared" si="425"/>
        <v>178</v>
      </c>
      <c r="C1245" s="174"/>
      <c r="D1245" s="21" t="s">
        <v>2182</v>
      </c>
      <c r="E1245" s="204"/>
      <c r="F1245" s="204"/>
      <c r="G1245" s="59"/>
      <c r="I1245" s="193"/>
      <c r="J1245" s="15"/>
      <c r="K1245" s="25">
        <v>1045610000</v>
      </c>
      <c r="L1245" s="13"/>
      <c r="M1245" s="17"/>
      <c r="N1245" s="161"/>
      <c r="O1245" s="50"/>
      <c r="P1245" s="17"/>
      <c r="Q1245" s="17"/>
      <c r="R1245" s="17"/>
      <c r="S1245" s="17"/>
      <c r="T1245" s="124"/>
      <c r="U1245" s="124"/>
      <c r="V1245" s="124"/>
      <c r="W1245" s="124"/>
      <c r="X1245" s="124"/>
      <c r="Y1245" s="19">
        <v>100</v>
      </c>
      <c r="Z1245" s="19">
        <v>100</v>
      </c>
      <c r="AA1245" s="22">
        <v>974307000</v>
      </c>
      <c r="AB1245" s="19">
        <f t="shared" si="423"/>
        <v>93.180727039718448</v>
      </c>
      <c r="AC1245" s="20">
        <f t="shared" si="426"/>
        <v>974307000</v>
      </c>
      <c r="AD1245" s="19">
        <f t="shared" si="424"/>
        <v>93.180727039718448</v>
      </c>
    </row>
    <row r="1246" spans="1:30" s="89" customFormat="1" ht="27.75" customHeight="1">
      <c r="A1246" s="723"/>
      <c r="B1246" s="13">
        <f t="shared" si="425"/>
        <v>179</v>
      </c>
      <c r="C1246" s="174"/>
      <c r="D1246" s="21" t="s">
        <v>2183</v>
      </c>
      <c r="E1246" s="204"/>
      <c r="F1246" s="204"/>
      <c r="G1246" s="59"/>
      <c r="I1246" s="193"/>
      <c r="J1246" s="15"/>
      <c r="K1246" s="25">
        <v>550000000</v>
      </c>
      <c r="L1246" s="13"/>
      <c r="M1246" s="17"/>
      <c r="N1246" s="161"/>
      <c r="O1246" s="50"/>
      <c r="P1246" s="17"/>
      <c r="Q1246" s="17"/>
      <c r="R1246" s="17"/>
      <c r="S1246" s="17"/>
      <c r="T1246" s="124"/>
      <c r="U1246" s="124"/>
      <c r="V1246" s="124"/>
      <c r="W1246" s="124"/>
      <c r="X1246" s="124"/>
      <c r="Y1246" s="19">
        <v>0</v>
      </c>
      <c r="Z1246" s="19">
        <v>0</v>
      </c>
      <c r="AA1246" s="22">
        <v>10048700</v>
      </c>
      <c r="AB1246" s="19">
        <f t="shared" si="423"/>
        <v>1.8270363636363636</v>
      </c>
      <c r="AC1246" s="20">
        <f t="shared" si="426"/>
        <v>10048700</v>
      </c>
      <c r="AD1246" s="19">
        <f t="shared" si="424"/>
        <v>1.8270363636363636</v>
      </c>
    </row>
    <row r="1247" spans="1:30" s="89" customFormat="1" ht="18.75" customHeight="1">
      <c r="A1247" s="723"/>
      <c r="B1247" s="13">
        <f t="shared" si="425"/>
        <v>180</v>
      </c>
      <c r="C1247" s="174"/>
      <c r="D1247" s="21" t="s">
        <v>2184</v>
      </c>
      <c r="E1247" s="204"/>
      <c r="F1247" s="204"/>
      <c r="G1247" s="59"/>
      <c r="I1247" s="193"/>
      <c r="J1247" s="15"/>
      <c r="K1247" s="25">
        <v>508325000</v>
      </c>
      <c r="L1247" s="13"/>
      <c r="M1247" s="17"/>
      <c r="N1247" s="161"/>
      <c r="O1247" s="50"/>
      <c r="P1247" s="17"/>
      <c r="Q1247" s="17"/>
      <c r="R1247" s="17"/>
      <c r="S1247" s="17"/>
      <c r="T1247" s="124"/>
      <c r="U1247" s="124"/>
      <c r="V1247" s="124"/>
      <c r="W1247" s="124"/>
      <c r="X1247" s="124"/>
      <c r="Y1247" s="19">
        <v>100</v>
      </c>
      <c r="Z1247" s="19">
        <v>100</v>
      </c>
      <c r="AA1247" s="22">
        <v>470750000</v>
      </c>
      <c r="AB1247" s="19">
        <f t="shared" si="423"/>
        <v>92.608075542221997</v>
      </c>
      <c r="AC1247" s="20">
        <f t="shared" si="426"/>
        <v>470750000</v>
      </c>
      <c r="AD1247" s="19">
        <f t="shared" si="424"/>
        <v>92.608075542221997</v>
      </c>
    </row>
    <row r="1248" spans="1:30" s="89" customFormat="1" ht="30.75" customHeight="1">
      <c r="A1248" s="723"/>
      <c r="B1248" s="13">
        <f t="shared" si="425"/>
        <v>181</v>
      </c>
      <c r="C1248" s="174"/>
      <c r="D1248" s="21" t="s">
        <v>2185</v>
      </c>
      <c r="E1248" s="204"/>
      <c r="F1248" s="204"/>
      <c r="G1248" s="59"/>
      <c r="I1248" s="193"/>
      <c r="J1248" s="15"/>
      <c r="K1248" s="25">
        <v>656500000</v>
      </c>
      <c r="L1248" s="13"/>
      <c r="M1248" s="17"/>
      <c r="N1248" s="161"/>
      <c r="O1248" s="50"/>
      <c r="P1248" s="17"/>
      <c r="Q1248" s="17"/>
      <c r="R1248" s="17"/>
      <c r="S1248" s="17"/>
      <c r="T1248" s="124"/>
      <c r="U1248" s="124"/>
      <c r="V1248" s="124"/>
      <c r="W1248" s="124"/>
      <c r="X1248" s="124"/>
      <c r="Y1248" s="19">
        <v>100</v>
      </c>
      <c r="Z1248" s="19">
        <v>100</v>
      </c>
      <c r="AA1248" s="22">
        <v>654187000</v>
      </c>
      <c r="AB1248" s="19">
        <f t="shared" si="423"/>
        <v>99.647677075399841</v>
      </c>
      <c r="AC1248" s="20">
        <f t="shared" si="426"/>
        <v>654187000</v>
      </c>
      <c r="AD1248" s="19">
        <f t="shared" si="424"/>
        <v>99.647677075399841</v>
      </c>
    </row>
    <row r="1249" spans="1:30" s="89" customFormat="1" ht="30" customHeight="1">
      <c r="A1249" s="723"/>
      <c r="B1249" s="13">
        <f t="shared" si="425"/>
        <v>182</v>
      </c>
      <c r="C1249" s="174"/>
      <c r="D1249" s="21" t="s">
        <v>2187</v>
      </c>
      <c r="E1249" s="204"/>
      <c r="F1249" s="204"/>
      <c r="G1249" s="59"/>
      <c r="I1249" s="193"/>
      <c r="J1249" s="15"/>
      <c r="K1249" s="25">
        <v>300000000</v>
      </c>
      <c r="L1249" s="13"/>
      <c r="M1249" s="17"/>
      <c r="N1249" s="161"/>
      <c r="O1249" s="50"/>
      <c r="P1249" s="17"/>
      <c r="Q1249" s="17"/>
      <c r="R1249" s="17"/>
      <c r="S1249" s="17"/>
      <c r="T1249" s="124"/>
      <c r="U1249" s="124"/>
      <c r="V1249" s="124"/>
      <c r="W1249" s="124"/>
      <c r="X1249" s="124"/>
      <c r="Y1249" s="19">
        <v>100</v>
      </c>
      <c r="Z1249" s="19">
        <v>100</v>
      </c>
      <c r="AA1249" s="22">
        <v>250634000</v>
      </c>
      <c r="AB1249" s="19">
        <f t="shared" si="423"/>
        <v>83.544666666666672</v>
      </c>
      <c r="AC1249" s="20">
        <f t="shared" si="426"/>
        <v>250634000</v>
      </c>
      <c r="AD1249" s="19">
        <f t="shared" si="424"/>
        <v>83.544666666666672</v>
      </c>
    </row>
    <row r="1250" spans="1:30" s="89" customFormat="1" ht="16.5" customHeight="1">
      <c r="A1250" s="723"/>
      <c r="B1250" s="13">
        <f t="shared" si="425"/>
        <v>183</v>
      </c>
      <c r="C1250" s="174"/>
      <c r="D1250" s="21" t="s">
        <v>2188</v>
      </c>
      <c r="E1250" s="204"/>
      <c r="F1250" s="204"/>
      <c r="G1250" s="59"/>
      <c r="I1250" s="193"/>
      <c r="J1250" s="15"/>
      <c r="K1250" s="25">
        <v>210000000</v>
      </c>
      <c r="L1250" s="13"/>
      <c r="M1250" s="17"/>
      <c r="N1250" s="161"/>
      <c r="O1250" s="50"/>
      <c r="P1250" s="17"/>
      <c r="Q1250" s="17"/>
      <c r="R1250" s="17"/>
      <c r="S1250" s="17"/>
      <c r="T1250" s="124"/>
      <c r="U1250" s="124"/>
      <c r="V1250" s="124"/>
      <c r="W1250" s="124"/>
      <c r="X1250" s="124"/>
      <c r="Y1250" s="19">
        <v>100</v>
      </c>
      <c r="Z1250" s="19">
        <v>100</v>
      </c>
      <c r="AA1250" s="22">
        <v>209573000</v>
      </c>
      <c r="AB1250" s="19">
        <f t="shared" si="423"/>
        <v>99.796666666666667</v>
      </c>
      <c r="AC1250" s="20">
        <f t="shared" si="426"/>
        <v>209573000</v>
      </c>
      <c r="AD1250" s="19">
        <f t="shared" si="424"/>
        <v>99.796666666666667</v>
      </c>
    </row>
    <row r="1251" spans="1:30" s="89" customFormat="1" ht="26.25" customHeight="1">
      <c r="A1251" s="723"/>
      <c r="B1251" s="13">
        <f t="shared" si="425"/>
        <v>184</v>
      </c>
      <c r="C1251" s="174"/>
      <c r="D1251" s="21" t="s">
        <v>2189</v>
      </c>
      <c r="E1251" s="204"/>
      <c r="F1251" s="204"/>
      <c r="G1251" s="59"/>
      <c r="I1251" s="193"/>
      <c r="J1251" s="15"/>
      <c r="K1251" s="25">
        <v>1380000000</v>
      </c>
      <c r="L1251" s="13"/>
      <c r="M1251" s="17"/>
      <c r="N1251" s="161"/>
      <c r="O1251" s="50"/>
      <c r="P1251" s="17"/>
      <c r="Q1251" s="17"/>
      <c r="R1251" s="17"/>
      <c r="S1251" s="17"/>
      <c r="T1251" s="124"/>
      <c r="U1251" s="124"/>
      <c r="V1251" s="124"/>
      <c r="W1251" s="124"/>
      <c r="X1251" s="124"/>
      <c r="Y1251" s="19">
        <v>100</v>
      </c>
      <c r="Z1251" s="19">
        <v>100</v>
      </c>
      <c r="AA1251" s="22">
        <v>1344068000</v>
      </c>
      <c r="AB1251" s="19">
        <f t="shared" si="423"/>
        <v>97.396231884057968</v>
      </c>
      <c r="AC1251" s="20">
        <f t="shared" si="426"/>
        <v>1344068000</v>
      </c>
      <c r="AD1251" s="19">
        <f t="shared" si="424"/>
        <v>97.396231884057968</v>
      </c>
    </row>
    <row r="1252" spans="1:30" s="89" customFormat="1" ht="30.75" customHeight="1">
      <c r="A1252" s="723"/>
      <c r="B1252" s="13">
        <f t="shared" si="425"/>
        <v>185</v>
      </c>
      <c r="C1252" s="174"/>
      <c r="D1252" s="21" t="s">
        <v>2190</v>
      </c>
      <c r="E1252" s="204"/>
      <c r="F1252" s="204"/>
      <c r="G1252" s="59"/>
      <c r="I1252" s="193"/>
      <c r="J1252" s="15"/>
      <c r="K1252" s="25">
        <v>100000000</v>
      </c>
      <c r="L1252" s="13"/>
      <c r="M1252" s="17"/>
      <c r="N1252" s="161"/>
      <c r="O1252" s="50"/>
      <c r="P1252" s="17"/>
      <c r="Q1252" s="17"/>
      <c r="R1252" s="17"/>
      <c r="S1252" s="17"/>
      <c r="T1252" s="124"/>
      <c r="U1252" s="124"/>
      <c r="V1252" s="124"/>
      <c r="W1252" s="124"/>
      <c r="X1252" s="124"/>
      <c r="Y1252" s="19">
        <v>100</v>
      </c>
      <c r="Z1252" s="19">
        <v>100</v>
      </c>
      <c r="AA1252" s="22">
        <v>99779000</v>
      </c>
      <c r="AB1252" s="19">
        <f t="shared" si="423"/>
        <v>99.778999999999996</v>
      </c>
      <c r="AC1252" s="20">
        <f t="shared" si="426"/>
        <v>99779000</v>
      </c>
      <c r="AD1252" s="19">
        <f t="shared" si="424"/>
        <v>99.778999999999996</v>
      </c>
    </row>
    <row r="1253" spans="1:30" s="89" customFormat="1" ht="19.5" customHeight="1">
      <c r="A1253" s="723"/>
      <c r="B1253" s="13">
        <f t="shared" si="425"/>
        <v>186</v>
      </c>
      <c r="C1253" s="174"/>
      <c r="D1253" s="21" t="s">
        <v>2191</v>
      </c>
      <c r="E1253" s="204"/>
      <c r="F1253" s="204"/>
      <c r="G1253" s="59"/>
      <c r="I1253" s="193"/>
      <c r="J1253" s="15"/>
      <c r="K1253" s="25">
        <v>200000000</v>
      </c>
      <c r="L1253" s="13"/>
      <c r="M1253" s="17"/>
      <c r="N1253" s="161"/>
      <c r="O1253" s="50"/>
      <c r="P1253" s="17"/>
      <c r="Q1253" s="17"/>
      <c r="R1253" s="17"/>
      <c r="S1253" s="17"/>
      <c r="T1253" s="124"/>
      <c r="U1253" s="124"/>
      <c r="V1253" s="124"/>
      <c r="W1253" s="124"/>
      <c r="X1253" s="124"/>
      <c r="Y1253" s="19">
        <v>100</v>
      </c>
      <c r="Z1253" s="19">
        <v>100</v>
      </c>
      <c r="AA1253" s="22">
        <v>199751000</v>
      </c>
      <c r="AB1253" s="19">
        <f t="shared" si="423"/>
        <v>99.875499999999988</v>
      </c>
      <c r="AC1253" s="20">
        <f t="shared" si="426"/>
        <v>199751000</v>
      </c>
      <c r="AD1253" s="19">
        <f t="shared" si="424"/>
        <v>99.875499999999988</v>
      </c>
    </row>
    <row r="1254" spans="1:30" s="89" customFormat="1" ht="28.5" customHeight="1">
      <c r="A1254" s="723"/>
      <c r="B1254" s="13">
        <f t="shared" si="425"/>
        <v>187</v>
      </c>
      <c r="C1254" s="174"/>
      <c r="D1254" s="21" t="s">
        <v>2192</v>
      </c>
      <c r="E1254" s="204"/>
      <c r="F1254" s="204"/>
      <c r="G1254" s="59"/>
      <c r="I1254" s="193"/>
      <c r="J1254" s="15"/>
      <c r="K1254" s="25">
        <v>150000000</v>
      </c>
      <c r="L1254" s="13"/>
      <c r="M1254" s="17"/>
      <c r="N1254" s="161"/>
      <c r="O1254" s="50"/>
      <c r="P1254" s="17"/>
      <c r="Q1254" s="17"/>
      <c r="R1254" s="17"/>
      <c r="S1254" s="17"/>
      <c r="T1254" s="124"/>
      <c r="U1254" s="124"/>
      <c r="V1254" s="124"/>
      <c r="W1254" s="124"/>
      <c r="X1254" s="124"/>
      <c r="Y1254" s="19">
        <v>100</v>
      </c>
      <c r="Z1254" s="19">
        <v>100</v>
      </c>
      <c r="AA1254" s="22">
        <v>14989500</v>
      </c>
      <c r="AB1254" s="19">
        <f t="shared" si="423"/>
        <v>9.9930000000000003</v>
      </c>
      <c r="AC1254" s="20">
        <f t="shared" si="426"/>
        <v>14989500</v>
      </c>
      <c r="AD1254" s="19">
        <f t="shared" si="424"/>
        <v>9.9930000000000003</v>
      </c>
    </row>
    <row r="1255" spans="1:30" s="89" customFormat="1" ht="30.75" customHeight="1">
      <c r="A1255" s="723"/>
      <c r="B1255" s="13">
        <f t="shared" si="425"/>
        <v>188</v>
      </c>
      <c r="C1255" s="174"/>
      <c r="D1255" s="21" t="s">
        <v>2193</v>
      </c>
      <c r="E1255" s="204"/>
      <c r="F1255" s="204"/>
      <c r="G1255" s="59"/>
      <c r="I1255" s="193"/>
      <c r="J1255" s="15"/>
      <c r="K1255" s="25">
        <v>402000000</v>
      </c>
      <c r="L1255" s="13"/>
      <c r="M1255" s="17"/>
      <c r="N1255" s="161"/>
      <c r="O1255" s="50"/>
      <c r="P1255" s="17"/>
      <c r="Q1255" s="17"/>
      <c r="R1255" s="17"/>
      <c r="S1255" s="17"/>
      <c r="T1255" s="124"/>
      <c r="U1255" s="124"/>
      <c r="V1255" s="124"/>
      <c r="W1255" s="124"/>
      <c r="X1255" s="124"/>
      <c r="Y1255" s="19">
        <v>100</v>
      </c>
      <c r="Z1255" s="19">
        <v>100</v>
      </c>
      <c r="AA1255" s="22">
        <v>301107000</v>
      </c>
      <c r="AB1255" s="19">
        <f t="shared" si="423"/>
        <v>74.902238805970143</v>
      </c>
      <c r="AC1255" s="20">
        <f t="shared" si="426"/>
        <v>301107000</v>
      </c>
      <c r="AD1255" s="19">
        <f t="shared" si="424"/>
        <v>74.902238805970143</v>
      </c>
    </row>
    <row r="1256" spans="1:30" s="89" customFormat="1" ht="19.5" customHeight="1">
      <c r="A1256" s="723"/>
      <c r="B1256" s="13">
        <f t="shared" si="425"/>
        <v>189</v>
      </c>
      <c r="C1256" s="174"/>
      <c r="D1256" s="21" t="s">
        <v>2194</v>
      </c>
      <c r="E1256" s="204"/>
      <c r="F1256" s="204"/>
      <c r="G1256" s="59"/>
      <c r="I1256" s="193"/>
      <c r="J1256" s="15"/>
      <c r="K1256" s="25">
        <v>1218000000</v>
      </c>
      <c r="L1256" s="13"/>
      <c r="M1256" s="17"/>
      <c r="N1256" s="161"/>
      <c r="O1256" s="50"/>
      <c r="P1256" s="17"/>
      <c r="Q1256" s="17"/>
      <c r="R1256" s="17"/>
      <c r="S1256" s="17"/>
      <c r="T1256" s="124"/>
      <c r="U1256" s="124"/>
      <c r="V1256" s="124"/>
      <c r="W1256" s="124"/>
      <c r="X1256" s="124"/>
      <c r="Y1256" s="19">
        <v>100</v>
      </c>
      <c r="Z1256" s="19">
        <v>100</v>
      </c>
      <c r="AA1256" s="22">
        <v>1213767000</v>
      </c>
      <c r="AB1256" s="19">
        <f t="shared" si="423"/>
        <v>99.652463054187194</v>
      </c>
      <c r="AC1256" s="20">
        <f t="shared" si="426"/>
        <v>1213767000</v>
      </c>
      <c r="AD1256" s="19">
        <f t="shared" si="424"/>
        <v>99.652463054187194</v>
      </c>
    </row>
    <row r="1257" spans="1:30" s="89" customFormat="1" ht="27" customHeight="1">
      <c r="A1257" s="723"/>
      <c r="B1257" s="13">
        <f t="shared" si="425"/>
        <v>190</v>
      </c>
      <c r="C1257" s="174"/>
      <c r="D1257" s="21" t="s">
        <v>2195</v>
      </c>
      <c r="E1257" s="204"/>
      <c r="F1257" s="204"/>
      <c r="G1257" s="59"/>
      <c r="I1257" s="193"/>
      <c r="J1257" s="15"/>
      <c r="K1257" s="25">
        <v>548000000</v>
      </c>
      <c r="L1257" s="13"/>
      <c r="M1257" s="17"/>
      <c r="N1257" s="161"/>
      <c r="O1257" s="50"/>
      <c r="P1257" s="17"/>
      <c r="Q1257" s="17"/>
      <c r="R1257" s="17"/>
      <c r="S1257" s="17"/>
      <c r="T1257" s="124"/>
      <c r="U1257" s="124"/>
      <c r="V1257" s="124"/>
      <c r="W1257" s="124"/>
      <c r="X1257" s="124"/>
      <c r="Y1257" s="19">
        <v>100</v>
      </c>
      <c r="Z1257" s="19">
        <v>100</v>
      </c>
      <c r="AA1257" s="22">
        <v>544078000</v>
      </c>
      <c r="AB1257" s="19">
        <f t="shared" si="423"/>
        <v>99.284306569343059</v>
      </c>
      <c r="AC1257" s="20">
        <f t="shared" si="426"/>
        <v>544078000</v>
      </c>
      <c r="AD1257" s="19">
        <f t="shared" si="424"/>
        <v>99.284306569343059</v>
      </c>
    </row>
    <row r="1258" spans="1:30" s="89" customFormat="1" ht="18" customHeight="1">
      <c r="A1258" s="723"/>
      <c r="B1258" s="13">
        <f t="shared" si="425"/>
        <v>191</v>
      </c>
      <c r="C1258" s="174"/>
      <c r="D1258" s="21" t="s">
        <v>2196</v>
      </c>
      <c r="E1258" s="204"/>
      <c r="F1258" s="204"/>
      <c r="G1258" s="59"/>
      <c r="I1258" s="193"/>
      <c r="J1258" s="15"/>
      <c r="K1258" s="25">
        <v>294000000</v>
      </c>
      <c r="L1258" s="13"/>
      <c r="M1258" s="17"/>
      <c r="N1258" s="161"/>
      <c r="O1258" s="50"/>
      <c r="P1258" s="17"/>
      <c r="Q1258" s="17"/>
      <c r="R1258" s="17"/>
      <c r="S1258" s="17"/>
      <c r="T1258" s="124"/>
      <c r="U1258" s="124"/>
      <c r="V1258" s="124"/>
      <c r="W1258" s="124"/>
      <c r="X1258" s="124"/>
      <c r="Y1258" s="19">
        <v>100</v>
      </c>
      <c r="Z1258" s="19">
        <v>100</v>
      </c>
      <c r="AA1258" s="22">
        <v>238726000</v>
      </c>
      <c r="AB1258" s="19">
        <f t="shared" si="423"/>
        <v>81.199319727891165</v>
      </c>
      <c r="AC1258" s="20">
        <f t="shared" si="426"/>
        <v>238726000</v>
      </c>
      <c r="AD1258" s="19">
        <f t="shared" si="424"/>
        <v>81.199319727891165</v>
      </c>
    </row>
    <row r="1259" spans="1:30" s="89" customFormat="1" ht="17.25" customHeight="1">
      <c r="A1259" s="723"/>
      <c r="B1259" s="13">
        <f t="shared" si="425"/>
        <v>192</v>
      </c>
      <c r="C1259" s="174"/>
      <c r="D1259" s="21" t="s">
        <v>2197</v>
      </c>
      <c r="E1259" s="204"/>
      <c r="F1259" s="204"/>
      <c r="G1259" s="59"/>
      <c r="I1259" s="193"/>
      <c r="J1259" s="15"/>
      <c r="K1259" s="25">
        <v>1349500000</v>
      </c>
      <c r="L1259" s="13"/>
      <c r="M1259" s="17"/>
      <c r="N1259" s="161"/>
      <c r="O1259" s="50"/>
      <c r="P1259" s="17"/>
      <c r="Q1259" s="17"/>
      <c r="R1259" s="17"/>
      <c r="S1259" s="17"/>
      <c r="T1259" s="124"/>
      <c r="U1259" s="124"/>
      <c r="V1259" s="124"/>
      <c r="W1259" s="124"/>
      <c r="X1259" s="124"/>
      <c r="Y1259" s="19">
        <v>100</v>
      </c>
      <c r="Z1259" s="19">
        <v>100</v>
      </c>
      <c r="AA1259" s="22">
        <v>1343582000</v>
      </c>
      <c r="AB1259" s="19">
        <f t="shared" si="423"/>
        <v>99.561467210077808</v>
      </c>
      <c r="AC1259" s="20">
        <f t="shared" si="426"/>
        <v>1343582000</v>
      </c>
      <c r="AD1259" s="19">
        <f t="shared" si="424"/>
        <v>99.561467210077808</v>
      </c>
    </row>
    <row r="1260" spans="1:30" s="89" customFormat="1" ht="14.25" customHeight="1">
      <c r="A1260" s="723"/>
      <c r="B1260" s="13">
        <f t="shared" si="425"/>
        <v>193</v>
      </c>
      <c r="C1260" s="174"/>
      <c r="D1260" s="21" t="s">
        <v>2198</v>
      </c>
      <c r="E1260" s="204"/>
      <c r="F1260" s="204"/>
      <c r="G1260" s="59"/>
      <c r="I1260" s="193"/>
      <c r="J1260" s="15"/>
      <c r="K1260" s="25">
        <v>1496000000</v>
      </c>
      <c r="L1260" s="13"/>
      <c r="M1260" s="17"/>
      <c r="N1260" s="161"/>
      <c r="O1260" s="50"/>
      <c r="P1260" s="17"/>
      <c r="Q1260" s="17"/>
      <c r="R1260" s="17"/>
      <c r="S1260" s="17"/>
      <c r="T1260" s="124"/>
      <c r="U1260" s="124"/>
      <c r="V1260" s="124"/>
      <c r="W1260" s="124"/>
      <c r="X1260" s="124"/>
      <c r="Y1260" s="19">
        <v>100</v>
      </c>
      <c r="Z1260" s="19">
        <v>100</v>
      </c>
      <c r="AA1260" s="22">
        <v>1491287000</v>
      </c>
      <c r="AB1260" s="19">
        <f t="shared" si="423"/>
        <v>99.684959893048131</v>
      </c>
      <c r="AC1260" s="20">
        <f t="shared" si="426"/>
        <v>1491287000</v>
      </c>
      <c r="AD1260" s="19">
        <f t="shared" si="424"/>
        <v>99.684959893048131</v>
      </c>
    </row>
    <row r="1261" spans="1:30" s="89" customFormat="1" ht="29.25" customHeight="1">
      <c r="A1261" s="723"/>
      <c r="B1261" s="13">
        <f t="shared" si="425"/>
        <v>194</v>
      </c>
      <c r="C1261" s="174"/>
      <c r="D1261" s="21" t="s">
        <v>2199</v>
      </c>
      <c r="E1261" s="204"/>
      <c r="F1261" s="204"/>
      <c r="G1261" s="59"/>
      <c r="I1261" s="193"/>
      <c r="J1261" s="15"/>
      <c r="K1261" s="25">
        <v>378000000</v>
      </c>
      <c r="L1261" s="13"/>
      <c r="M1261" s="17"/>
      <c r="N1261" s="161"/>
      <c r="O1261" s="50"/>
      <c r="P1261" s="17"/>
      <c r="Q1261" s="17"/>
      <c r="R1261" s="17"/>
      <c r="S1261" s="17"/>
      <c r="T1261" s="124"/>
      <c r="U1261" s="124"/>
      <c r="V1261" s="124"/>
      <c r="W1261" s="124"/>
      <c r="X1261" s="124"/>
      <c r="Y1261" s="19">
        <v>100</v>
      </c>
      <c r="Z1261" s="19">
        <v>100</v>
      </c>
      <c r="AA1261" s="22">
        <v>372686000</v>
      </c>
      <c r="AB1261" s="19">
        <f t="shared" si="423"/>
        <v>98.594179894179888</v>
      </c>
      <c r="AC1261" s="20">
        <f t="shared" si="426"/>
        <v>372686000</v>
      </c>
      <c r="AD1261" s="19">
        <f t="shared" si="424"/>
        <v>98.594179894179888</v>
      </c>
    </row>
    <row r="1262" spans="1:30" s="89" customFormat="1" ht="18" customHeight="1">
      <c r="A1262" s="723"/>
      <c r="B1262" s="13"/>
      <c r="C1262" s="174"/>
      <c r="D1262" s="14" t="s">
        <v>1463</v>
      </c>
      <c r="E1262" s="204"/>
      <c r="F1262" s="204"/>
      <c r="G1262" s="59"/>
      <c r="I1262" s="193"/>
      <c r="J1262" s="15"/>
      <c r="K1262" s="25"/>
      <c r="L1262" s="13"/>
      <c r="M1262" s="17"/>
      <c r="N1262" s="161"/>
      <c r="O1262" s="50"/>
      <c r="P1262" s="17"/>
      <c r="Q1262" s="17"/>
      <c r="R1262" s="17"/>
      <c r="S1262" s="17"/>
      <c r="T1262" s="124"/>
      <c r="U1262" s="124"/>
      <c r="V1262" s="124"/>
      <c r="W1262" s="124"/>
      <c r="X1262" s="124"/>
      <c r="Y1262" s="19"/>
      <c r="Z1262" s="19"/>
      <c r="AA1262" s="22"/>
      <c r="AB1262" s="19"/>
      <c r="AC1262" s="20"/>
      <c r="AD1262" s="19"/>
    </row>
    <row r="1263" spans="1:30" s="89" customFormat="1" ht="27" customHeight="1">
      <c r="A1263" s="723"/>
      <c r="B1263" s="13"/>
      <c r="C1263" s="174"/>
      <c r="D1263" s="14" t="s">
        <v>2200</v>
      </c>
      <c r="E1263" s="204"/>
      <c r="F1263" s="204"/>
      <c r="G1263" s="59"/>
      <c r="I1263" s="193"/>
      <c r="J1263" s="15"/>
      <c r="K1263" s="25"/>
      <c r="L1263" s="13"/>
      <c r="M1263" s="17"/>
      <c r="N1263" s="161"/>
      <c r="O1263" s="50"/>
      <c r="P1263" s="17"/>
      <c r="Q1263" s="17"/>
      <c r="R1263" s="17"/>
      <c r="S1263" s="17"/>
      <c r="T1263" s="124"/>
      <c r="U1263" s="124"/>
      <c r="V1263" s="124"/>
      <c r="W1263" s="124"/>
      <c r="X1263" s="124"/>
      <c r="Y1263" s="19"/>
      <c r="Z1263" s="19"/>
      <c r="AA1263" s="22"/>
      <c r="AB1263" s="19"/>
      <c r="AC1263" s="20"/>
      <c r="AD1263" s="19"/>
    </row>
    <row r="1264" spans="1:30" s="89" customFormat="1" ht="49.5" customHeight="1">
      <c r="A1264" s="723"/>
      <c r="B1264" s="13">
        <f>B1261+1</f>
        <v>195</v>
      </c>
      <c r="C1264" s="174"/>
      <c r="D1264" s="21" t="s">
        <v>2201</v>
      </c>
      <c r="E1264" s="204"/>
      <c r="F1264" s="204"/>
      <c r="G1264" s="59"/>
      <c r="I1264" s="193"/>
      <c r="J1264" s="15"/>
      <c r="K1264" s="25">
        <v>30000000</v>
      </c>
      <c r="L1264" s="13"/>
      <c r="M1264" s="17"/>
      <c r="N1264" s="161"/>
      <c r="O1264" s="50"/>
      <c r="P1264" s="17"/>
      <c r="Q1264" s="17"/>
      <c r="R1264" s="17"/>
      <c r="S1264" s="17"/>
      <c r="T1264" s="124"/>
      <c r="U1264" s="124"/>
      <c r="V1264" s="124"/>
      <c r="W1264" s="124"/>
      <c r="X1264" s="124"/>
      <c r="Y1264" s="19">
        <v>100</v>
      </c>
      <c r="Z1264" s="19">
        <v>100</v>
      </c>
      <c r="AA1264" s="22">
        <v>26788950</v>
      </c>
      <c r="AB1264" s="19">
        <f t="shared" si="423"/>
        <v>89.296499999999995</v>
      </c>
      <c r="AC1264" s="20"/>
      <c r="AD1264" s="19">
        <f t="shared" si="424"/>
        <v>0</v>
      </c>
    </row>
    <row r="1265" spans="1:30" s="89" customFormat="1" ht="49.5" customHeight="1">
      <c r="A1265" s="723"/>
      <c r="B1265" s="13">
        <f>B1264+1</f>
        <v>196</v>
      </c>
      <c r="C1265" s="174"/>
      <c r="D1265" s="21" t="s">
        <v>2202</v>
      </c>
      <c r="E1265" s="204"/>
      <c r="F1265" s="204"/>
      <c r="G1265" s="59"/>
      <c r="I1265" s="193"/>
      <c r="J1265" s="15"/>
      <c r="K1265" s="25">
        <v>24700000</v>
      </c>
      <c r="L1265" s="13"/>
      <c r="M1265" s="17"/>
      <c r="N1265" s="161"/>
      <c r="O1265" s="50"/>
      <c r="P1265" s="17"/>
      <c r="Q1265" s="17"/>
      <c r="R1265" s="17"/>
      <c r="S1265" s="17"/>
      <c r="T1265" s="124"/>
      <c r="U1265" s="124"/>
      <c r="V1265" s="124"/>
      <c r="W1265" s="124"/>
      <c r="X1265" s="124"/>
      <c r="Y1265" s="19">
        <v>100</v>
      </c>
      <c r="Z1265" s="19">
        <v>100</v>
      </c>
      <c r="AA1265" s="22">
        <v>24689200</v>
      </c>
      <c r="AB1265" s="19">
        <f t="shared" si="423"/>
        <v>99.956275303643721</v>
      </c>
      <c r="AC1265" s="20">
        <f>AA1265</f>
        <v>24689200</v>
      </c>
      <c r="AD1265" s="19">
        <f t="shared" si="424"/>
        <v>99.956275303643721</v>
      </c>
    </row>
    <row r="1266" spans="1:30" s="89" customFormat="1" ht="49.5" customHeight="1">
      <c r="A1266" s="723"/>
      <c r="B1266" s="13">
        <f>B1265+1</f>
        <v>197</v>
      </c>
      <c r="C1266" s="174"/>
      <c r="D1266" s="21" t="s">
        <v>2203</v>
      </c>
      <c r="E1266" s="204"/>
      <c r="F1266" s="204"/>
      <c r="G1266" s="59"/>
      <c r="I1266" s="193"/>
      <c r="J1266" s="15"/>
      <c r="K1266" s="25">
        <v>150000000</v>
      </c>
      <c r="L1266" s="13"/>
      <c r="M1266" s="17"/>
      <c r="N1266" s="161" t="s">
        <v>2378</v>
      </c>
      <c r="O1266" s="50" t="s">
        <v>2139</v>
      </c>
      <c r="P1266" s="17"/>
      <c r="Q1266" s="17"/>
      <c r="R1266" s="17"/>
      <c r="S1266" s="17"/>
      <c r="T1266" s="124"/>
      <c r="U1266" s="124"/>
      <c r="V1266" s="124"/>
      <c r="W1266" s="124"/>
      <c r="X1266" s="124"/>
      <c r="Y1266" s="19">
        <v>100</v>
      </c>
      <c r="Z1266" s="19">
        <v>100</v>
      </c>
      <c r="AA1266" s="22">
        <v>146818775</v>
      </c>
      <c r="AB1266" s="19">
        <f t="shared" si="423"/>
        <v>97.87918333333333</v>
      </c>
      <c r="AC1266" s="20"/>
      <c r="AD1266" s="19">
        <f t="shared" si="424"/>
        <v>0</v>
      </c>
    </row>
    <row r="1267" spans="1:30" s="89" customFormat="1" ht="49.5" customHeight="1">
      <c r="A1267" s="723"/>
      <c r="B1267" s="13">
        <f>B1266+1</f>
        <v>198</v>
      </c>
      <c r="C1267" s="174"/>
      <c r="D1267" s="21" t="s">
        <v>2204</v>
      </c>
      <c r="E1267" s="204"/>
      <c r="F1267" s="204"/>
      <c r="G1267" s="59"/>
      <c r="I1267" s="193"/>
      <c r="J1267" s="15"/>
      <c r="K1267" s="25">
        <v>120000000</v>
      </c>
      <c r="L1267" s="13"/>
      <c r="M1267" s="17"/>
      <c r="N1267" s="161" t="s">
        <v>2379</v>
      </c>
      <c r="O1267" s="50" t="s">
        <v>2139</v>
      </c>
      <c r="P1267" s="17"/>
      <c r="Q1267" s="17"/>
      <c r="R1267" s="17"/>
      <c r="S1267" s="17"/>
      <c r="T1267" s="124"/>
      <c r="U1267" s="124"/>
      <c r="V1267" s="124"/>
      <c r="W1267" s="124"/>
      <c r="X1267" s="124"/>
      <c r="Y1267" s="19">
        <v>100</v>
      </c>
      <c r="Z1267" s="19">
        <v>100</v>
      </c>
      <c r="AA1267" s="22">
        <v>117379975</v>
      </c>
      <c r="AB1267" s="19">
        <f t="shared" si="423"/>
        <v>97.81664583333334</v>
      </c>
      <c r="AC1267" s="20"/>
      <c r="AD1267" s="19">
        <f t="shared" si="424"/>
        <v>0</v>
      </c>
    </row>
    <row r="1268" spans="1:30" s="89" customFormat="1" ht="49.5" customHeight="1">
      <c r="A1268" s="723"/>
      <c r="B1268" s="13">
        <f t="shared" ref="B1268:B1269" si="427">B1267+1</f>
        <v>199</v>
      </c>
      <c r="C1268" s="174"/>
      <c r="D1268" s="21" t="s">
        <v>2205</v>
      </c>
      <c r="E1268" s="204"/>
      <c r="F1268" s="204"/>
      <c r="G1268" s="59"/>
      <c r="I1268" s="193"/>
      <c r="J1268" s="15"/>
      <c r="K1268" s="25">
        <v>20350000000</v>
      </c>
      <c r="L1268" s="13"/>
      <c r="M1268" s="17"/>
      <c r="N1268" s="161"/>
      <c r="O1268" s="50"/>
      <c r="P1268" s="17"/>
      <c r="Q1268" s="17"/>
      <c r="R1268" s="17"/>
      <c r="S1268" s="17"/>
      <c r="T1268" s="124"/>
      <c r="U1268" s="124"/>
      <c r="V1268" s="124"/>
      <c r="W1268" s="124"/>
      <c r="X1268" s="124"/>
      <c r="Y1268" s="19">
        <v>0</v>
      </c>
      <c r="Z1268" s="19">
        <v>0</v>
      </c>
      <c r="AA1268" s="22"/>
      <c r="AB1268" s="19">
        <f t="shared" si="423"/>
        <v>0</v>
      </c>
      <c r="AC1268" s="20"/>
      <c r="AD1268" s="19">
        <f t="shared" si="424"/>
        <v>0</v>
      </c>
    </row>
    <row r="1269" spans="1:30" s="89" customFormat="1" ht="27.75" customHeight="1">
      <c r="A1269" s="723"/>
      <c r="B1269" s="13">
        <f t="shared" si="427"/>
        <v>200</v>
      </c>
      <c r="C1269" s="174"/>
      <c r="D1269" s="21" t="s">
        <v>2206</v>
      </c>
      <c r="E1269" s="204"/>
      <c r="F1269" s="204"/>
      <c r="G1269" s="59"/>
      <c r="I1269" s="193"/>
      <c r="J1269" s="15"/>
      <c r="K1269" s="25">
        <v>254000000</v>
      </c>
      <c r="L1269" s="13"/>
      <c r="M1269" s="17"/>
      <c r="N1269" s="161" t="s">
        <v>2380</v>
      </c>
      <c r="O1269" s="50"/>
      <c r="P1269" s="17"/>
      <c r="Q1269" s="17"/>
      <c r="R1269" s="17"/>
      <c r="S1269" s="17"/>
      <c r="T1269" s="124"/>
      <c r="U1269" s="124"/>
      <c r="V1269" s="124"/>
      <c r="W1269" s="124"/>
      <c r="X1269" s="124"/>
      <c r="Y1269" s="19">
        <v>100</v>
      </c>
      <c r="Z1269" s="19">
        <v>100</v>
      </c>
      <c r="AA1269" s="22">
        <v>197261475</v>
      </c>
      <c r="AB1269" s="19">
        <f t="shared" si="423"/>
        <v>77.661998031496054</v>
      </c>
      <c r="AC1269" s="20"/>
      <c r="AD1269" s="19">
        <f t="shared" si="424"/>
        <v>0</v>
      </c>
    </row>
    <row r="1270" spans="1:30" s="89" customFormat="1" ht="30" customHeight="1">
      <c r="A1270" s="723"/>
      <c r="B1270" s="13"/>
      <c r="C1270" s="174"/>
      <c r="D1270" s="14" t="s">
        <v>531</v>
      </c>
      <c r="E1270" s="204"/>
      <c r="F1270" s="204"/>
      <c r="G1270" s="59"/>
      <c r="I1270" s="193"/>
      <c r="J1270" s="15"/>
      <c r="K1270" s="25"/>
      <c r="L1270" s="13"/>
      <c r="M1270" s="17"/>
      <c r="N1270" s="161"/>
      <c r="O1270" s="50"/>
      <c r="P1270" s="17"/>
      <c r="Q1270" s="17"/>
      <c r="R1270" s="17"/>
      <c r="S1270" s="17"/>
      <c r="T1270" s="124"/>
      <c r="U1270" s="124"/>
      <c r="V1270" s="124"/>
      <c r="W1270" s="124"/>
      <c r="X1270" s="124"/>
      <c r="Y1270" s="19"/>
      <c r="Z1270" s="19"/>
      <c r="AA1270" s="22"/>
      <c r="AB1270" s="19"/>
      <c r="AC1270" s="20"/>
      <c r="AD1270" s="19"/>
    </row>
    <row r="1271" spans="1:30" s="89" customFormat="1" ht="18" customHeight="1">
      <c r="A1271" s="723"/>
      <c r="B1271" s="13">
        <f>B1269+1</f>
        <v>201</v>
      </c>
      <c r="C1271" s="174"/>
      <c r="D1271" s="21" t="s">
        <v>2207</v>
      </c>
      <c r="E1271" s="204"/>
      <c r="F1271" s="204"/>
      <c r="G1271" s="59"/>
      <c r="I1271" s="193"/>
      <c r="J1271" s="15"/>
      <c r="K1271" s="25">
        <v>190000000</v>
      </c>
      <c r="L1271" s="13"/>
      <c r="M1271" s="17"/>
      <c r="N1271" s="161"/>
      <c r="O1271" s="50"/>
      <c r="P1271" s="17"/>
      <c r="Q1271" s="17"/>
      <c r="R1271" s="17"/>
      <c r="S1271" s="17"/>
      <c r="T1271" s="124"/>
      <c r="U1271" s="124"/>
      <c r="V1271" s="124"/>
      <c r="W1271" s="124"/>
      <c r="X1271" s="124"/>
      <c r="Y1271" s="19">
        <v>100</v>
      </c>
      <c r="Z1271" s="19">
        <v>100</v>
      </c>
      <c r="AA1271" s="22">
        <v>182121500</v>
      </c>
      <c r="AB1271" s="19">
        <f t="shared" si="423"/>
        <v>95.853421052631589</v>
      </c>
      <c r="AC1271" s="20"/>
      <c r="AD1271" s="19">
        <f t="shared" si="424"/>
        <v>0</v>
      </c>
    </row>
    <row r="1272" spans="1:30" s="89" customFormat="1" ht="18" customHeight="1">
      <c r="A1272" s="723"/>
      <c r="B1272" s="13">
        <f>B1271+1</f>
        <v>202</v>
      </c>
      <c r="C1272" s="174"/>
      <c r="D1272" s="21" t="s">
        <v>2208</v>
      </c>
      <c r="E1272" s="204"/>
      <c r="F1272" s="204"/>
      <c r="G1272" s="59"/>
      <c r="I1272" s="193"/>
      <c r="J1272" s="15"/>
      <c r="K1272" s="25">
        <v>500000000</v>
      </c>
      <c r="L1272" s="13"/>
      <c r="M1272" s="17"/>
      <c r="N1272" s="161"/>
      <c r="O1272" s="50"/>
      <c r="P1272" s="17"/>
      <c r="Q1272" s="17"/>
      <c r="R1272" s="17"/>
      <c r="S1272" s="17"/>
      <c r="T1272" s="124"/>
      <c r="U1272" s="124"/>
      <c r="V1272" s="124"/>
      <c r="W1272" s="124"/>
      <c r="X1272" s="124"/>
      <c r="Y1272" s="19">
        <v>100</v>
      </c>
      <c r="Z1272" s="19">
        <v>100</v>
      </c>
      <c r="AA1272" s="22">
        <v>10452500</v>
      </c>
      <c r="AB1272" s="19">
        <f t="shared" si="423"/>
        <v>2.0905</v>
      </c>
      <c r="AC1272" s="20"/>
      <c r="AD1272" s="19">
        <f t="shared" si="424"/>
        <v>0</v>
      </c>
    </row>
    <row r="1273" spans="1:30" s="89" customFormat="1" ht="39" customHeight="1">
      <c r="A1273" s="723"/>
      <c r="B1273" s="13">
        <f>B1272+1</f>
        <v>203</v>
      </c>
      <c r="C1273" s="174"/>
      <c r="D1273" s="21" t="s">
        <v>2209</v>
      </c>
      <c r="E1273" s="204"/>
      <c r="F1273" s="204"/>
      <c r="G1273" s="59"/>
      <c r="I1273" s="193"/>
      <c r="J1273" s="15"/>
      <c r="K1273" s="25">
        <v>300000000</v>
      </c>
      <c r="L1273" s="13"/>
      <c r="M1273" s="17"/>
      <c r="N1273" s="161"/>
      <c r="O1273" s="50"/>
      <c r="P1273" s="17"/>
      <c r="Q1273" s="17"/>
      <c r="R1273" s="17"/>
      <c r="S1273" s="17"/>
      <c r="T1273" s="124"/>
      <c r="U1273" s="124"/>
      <c r="V1273" s="124"/>
      <c r="W1273" s="124"/>
      <c r="X1273" s="124"/>
      <c r="Y1273" s="19">
        <v>100</v>
      </c>
      <c r="Z1273" s="19">
        <v>100</v>
      </c>
      <c r="AA1273" s="22">
        <v>278337000</v>
      </c>
      <c r="AB1273" s="19">
        <f t="shared" si="423"/>
        <v>92.778999999999996</v>
      </c>
      <c r="AC1273" s="20"/>
      <c r="AD1273" s="19">
        <f t="shared" si="424"/>
        <v>0</v>
      </c>
    </row>
    <row r="1274" spans="1:30" s="89" customFormat="1" ht="29.25" customHeight="1">
      <c r="A1274" s="723"/>
      <c r="B1274" s="13">
        <f t="shared" ref="B1274:B1282" si="428">B1273+1</f>
        <v>204</v>
      </c>
      <c r="C1274" s="174"/>
      <c r="D1274" s="21" t="s">
        <v>2210</v>
      </c>
      <c r="E1274" s="204"/>
      <c r="F1274" s="204"/>
      <c r="G1274" s="59"/>
      <c r="I1274" s="193"/>
      <c r="J1274" s="15"/>
      <c r="K1274" s="25">
        <v>40000000</v>
      </c>
      <c r="L1274" s="13"/>
      <c r="M1274" s="17"/>
      <c r="N1274" s="161"/>
      <c r="O1274" s="50"/>
      <c r="P1274" s="17"/>
      <c r="Q1274" s="17"/>
      <c r="R1274" s="17"/>
      <c r="S1274" s="17"/>
      <c r="T1274" s="124"/>
      <c r="U1274" s="124"/>
      <c r="V1274" s="124"/>
      <c r="W1274" s="124"/>
      <c r="X1274" s="124"/>
      <c r="Y1274" s="19">
        <v>100</v>
      </c>
      <c r="Z1274" s="19">
        <v>100</v>
      </c>
      <c r="AA1274" s="22">
        <v>39900000</v>
      </c>
      <c r="AB1274" s="19">
        <f t="shared" si="423"/>
        <v>99.75</v>
      </c>
      <c r="AC1274" s="20"/>
      <c r="AD1274" s="19">
        <f t="shared" si="424"/>
        <v>0</v>
      </c>
    </row>
    <row r="1275" spans="1:30" s="89" customFormat="1" ht="30.75" customHeight="1">
      <c r="A1275" s="723"/>
      <c r="B1275" s="13"/>
      <c r="C1275" s="174"/>
      <c r="D1275" s="14" t="s">
        <v>544</v>
      </c>
      <c r="E1275" s="204"/>
      <c r="F1275" s="204"/>
      <c r="G1275" s="59"/>
      <c r="I1275" s="193"/>
      <c r="J1275" s="15"/>
      <c r="K1275" s="25"/>
      <c r="L1275" s="13"/>
      <c r="M1275" s="17"/>
      <c r="N1275" s="161"/>
      <c r="O1275" s="50"/>
      <c r="P1275" s="17"/>
      <c r="Q1275" s="17"/>
      <c r="R1275" s="17"/>
      <c r="S1275" s="17"/>
      <c r="T1275" s="124"/>
      <c r="U1275" s="124"/>
      <c r="V1275" s="124"/>
      <c r="W1275" s="124"/>
      <c r="X1275" s="124"/>
      <c r="Y1275" s="19"/>
      <c r="Z1275" s="19"/>
      <c r="AA1275" s="22"/>
      <c r="AB1275" s="19"/>
      <c r="AC1275" s="20"/>
      <c r="AD1275" s="19"/>
    </row>
    <row r="1276" spans="1:30" s="89" customFormat="1" ht="21" customHeight="1">
      <c r="A1276" s="723"/>
      <c r="B1276" s="13">
        <f>B1274+1</f>
        <v>205</v>
      </c>
      <c r="C1276" s="174"/>
      <c r="D1276" s="21" t="s">
        <v>2211</v>
      </c>
      <c r="E1276" s="204"/>
      <c r="F1276" s="204"/>
      <c r="G1276" s="59"/>
      <c r="I1276" s="193"/>
      <c r="J1276" s="15"/>
      <c r="K1276" s="25">
        <v>373000000</v>
      </c>
      <c r="L1276" s="13"/>
      <c r="M1276" s="17"/>
      <c r="N1276" s="161"/>
      <c r="O1276" s="50"/>
      <c r="P1276" s="17"/>
      <c r="Q1276" s="17"/>
      <c r="R1276" s="17"/>
      <c r="S1276" s="17"/>
      <c r="T1276" s="124"/>
      <c r="U1276" s="124"/>
      <c r="V1276" s="124"/>
      <c r="W1276" s="124"/>
      <c r="X1276" s="124"/>
      <c r="Y1276" s="19">
        <v>100</v>
      </c>
      <c r="Z1276" s="19">
        <v>100</v>
      </c>
      <c r="AA1276" s="22"/>
      <c r="AB1276" s="19">
        <f t="shared" si="423"/>
        <v>0</v>
      </c>
      <c r="AC1276" s="20"/>
      <c r="AD1276" s="19">
        <f t="shared" si="424"/>
        <v>0</v>
      </c>
    </row>
    <row r="1277" spans="1:30" s="89" customFormat="1" ht="31.5" customHeight="1">
      <c r="A1277" s="723"/>
      <c r="B1277" s="13">
        <f t="shared" si="428"/>
        <v>206</v>
      </c>
      <c r="C1277" s="174"/>
      <c r="D1277" s="21" t="s">
        <v>2212</v>
      </c>
      <c r="E1277" s="204"/>
      <c r="F1277" s="204"/>
      <c r="G1277" s="59"/>
      <c r="I1277" s="193"/>
      <c r="J1277" s="15"/>
      <c r="K1277" s="25">
        <v>32540000</v>
      </c>
      <c r="L1277" s="13"/>
      <c r="M1277" s="17"/>
      <c r="N1277" s="161"/>
      <c r="O1277" s="50"/>
      <c r="P1277" s="17"/>
      <c r="Q1277" s="17"/>
      <c r="R1277" s="17"/>
      <c r="S1277" s="17"/>
      <c r="T1277" s="124"/>
      <c r="U1277" s="124"/>
      <c r="V1277" s="124"/>
      <c r="W1277" s="124"/>
      <c r="X1277" s="124"/>
      <c r="Y1277" s="19">
        <v>100</v>
      </c>
      <c r="Z1277" s="19">
        <v>100</v>
      </c>
      <c r="AA1277" s="22">
        <v>31550000</v>
      </c>
      <c r="AB1277" s="19">
        <f t="shared" si="423"/>
        <v>96.957590657652119</v>
      </c>
      <c r="AC1277" s="20"/>
      <c r="AD1277" s="19">
        <f t="shared" si="424"/>
        <v>0</v>
      </c>
    </row>
    <row r="1278" spans="1:30" s="89" customFormat="1" ht="30" customHeight="1">
      <c r="A1278" s="723"/>
      <c r="B1278" s="13">
        <f t="shared" si="428"/>
        <v>207</v>
      </c>
      <c r="C1278" s="174"/>
      <c r="D1278" s="21" t="s">
        <v>2213</v>
      </c>
      <c r="E1278" s="204"/>
      <c r="F1278" s="204"/>
      <c r="G1278" s="59"/>
      <c r="I1278" s="193"/>
      <c r="J1278" s="15"/>
      <c r="K1278" s="25">
        <v>200000000</v>
      </c>
      <c r="L1278" s="13"/>
      <c r="M1278" s="17"/>
      <c r="N1278" s="161"/>
      <c r="O1278" s="50"/>
      <c r="P1278" s="17"/>
      <c r="Q1278" s="17"/>
      <c r="R1278" s="17"/>
      <c r="S1278" s="17"/>
      <c r="T1278" s="124"/>
      <c r="U1278" s="124"/>
      <c r="V1278" s="124"/>
      <c r="W1278" s="124"/>
      <c r="X1278" s="124"/>
      <c r="Y1278" s="19">
        <v>100</v>
      </c>
      <c r="Z1278" s="19">
        <v>100</v>
      </c>
      <c r="AA1278" s="22">
        <v>194437000</v>
      </c>
      <c r="AB1278" s="19">
        <f t="shared" si="423"/>
        <v>97.218499999999992</v>
      </c>
      <c r="AC1278" s="20"/>
      <c r="AD1278" s="19">
        <f t="shared" si="424"/>
        <v>0</v>
      </c>
    </row>
    <row r="1279" spans="1:30" s="89" customFormat="1" ht="18" customHeight="1">
      <c r="A1279" s="723"/>
      <c r="B1279" s="13">
        <f t="shared" si="428"/>
        <v>208</v>
      </c>
      <c r="C1279" s="174"/>
      <c r="D1279" s="21" t="s">
        <v>2214</v>
      </c>
      <c r="E1279" s="204"/>
      <c r="F1279" s="204"/>
      <c r="G1279" s="59"/>
      <c r="I1279" s="193"/>
      <c r="J1279" s="15"/>
      <c r="K1279" s="25">
        <v>200000000</v>
      </c>
      <c r="L1279" s="13"/>
      <c r="M1279" s="17"/>
      <c r="N1279" s="161"/>
      <c r="O1279" s="50"/>
      <c r="P1279" s="17"/>
      <c r="Q1279" s="17"/>
      <c r="R1279" s="17"/>
      <c r="S1279" s="17"/>
      <c r="T1279" s="124"/>
      <c r="U1279" s="124"/>
      <c r="V1279" s="124"/>
      <c r="W1279" s="124"/>
      <c r="X1279" s="124"/>
      <c r="Y1279" s="19">
        <v>100</v>
      </c>
      <c r="Z1279" s="19">
        <v>100</v>
      </c>
      <c r="AA1279" s="22">
        <v>195202000</v>
      </c>
      <c r="AB1279" s="19">
        <f t="shared" si="423"/>
        <v>97.600999999999999</v>
      </c>
      <c r="AC1279" s="20"/>
      <c r="AD1279" s="19">
        <f t="shared" si="424"/>
        <v>0</v>
      </c>
    </row>
    <row r="1280" spans="1:30" s="89" customFormat="1" ht="28.5" customHeight="1">
      <c r="A1280" s="723"/>
      <c r="B1280" s="13">
        <f t="shared" si="428"/>
        <v>209</v>
      </c>
      <c r="C1280" s="174"/>
      <c r="D1280" s="21" t="s">
        <v>2220</v>
      </c>
      <c r="E1280" s="204"/>
      <c r="F1280" s="204"/>
      <c r="G1280" s="59"/>
      <c r="I1280" s="193"/>
      <c r="J1280" s="15"/>
      <c r="K1280" s="25">
        <v>55000000</v>
      </c>
      <c r="L1280" s="13"/>
      <c r="M1280" s="17"/>
      <c r="N1280" s="161"/>
      <c r="O1280" s="50"/>
      <c r="P1280" s="17"/>
      <c r="Q1280" s="17"/>
      <c r="R1280" s="17"/>
      <c r="S1280" s="17"/>
      <c r="T1280" s="124"/>
      <c r="U1280" s="124"/>
      <c r="V1280" s="124"/>
      <c r="W1280" s="124"/>
      <c r="X1280" s="124"/>
      <c r="Y1280" s="19">
        <v>100</v>
      </c>
      <c r="Z1280" s="19">
        <v>100</v>
      </c>
      <c r="AA1280" s="22">
        <v>2082500</v>
      </c>
      <c r="AB1280" s="19">
        <f t="shared" si="423"/>
        <v>3.7863636363636362</v>
      </c>
      <c r="AC1280" s="20"/>
      <c r="AD1280" s="19">
        <f t="shared" si="424"/>
        <v>0</v>
      </c>
    </row>
    <row r="1281" spans="1:30" s="89" customFormat="1" ht="17.25" customHeight="1">
      <c r="A1281" s="723"/>
      <c r="B1281" s="13">
        <f t="shared" si="428"/>
        <v>210</v>
      </c>
      <c r="C1281" s="174"/>
      <c r="D1281" s="21" t="s">
        <v>2215</v>
      </c>
      <c r="E1281" s="204"/>
      <c r="F1281" s="204"/>
      <c r="G1281" s="59"/>
      <c r="I1281" s="193"/>
      <c r="J1281" s="15"/>
      <c r="K1281" s="25">
        <v>75000000</v>
      </c>
      <c r="L1281" s="13"/>
      <c r="M1281" s="17"/>
      <c r="N1281" s="161"/>
      <c r="O1281" s="50"/>
      <c r="P1281" s="17"/>
      <c r="Q1281" s="17"/>
      <c r="R1281" s="17"/>
      <c r="S1281" s="17"/>
      <c r="T1281" s="124"/>
      <c r="U1281" s="124"/>
      <c r="V1281" s="124"/>
      <c r="W1281" s="124"/>
      <c r="X1281" s="124"/>
      <c r="Y1281" s="19">
        <v>100</v>
      </c>
      <c r="Z1281" s="19">
        <v>100</v>
      </c>
      <c r="AA1281" s="22">
        <v>1395000</v>
      </c>
      <c r="AB1281" s="19">
        <f t="shared" si="423"/>
        <v>1.8599999999999999</v>
      </c>
      <c r="AC1281" s="20"/>
      <c r="AD1281" s="19">
        <f t="shared" si="424"/>
        <v>0</v>
      </c>
    </row>
    <row r="1282" spans="1:30" s="89" customFormat="1" ht="17.25" customHeight="1">
      <c r="A1282" s="723"/>
      <c r="B1282" s="13">
        <f t="shared" si="428"/>
        <v>211</v>
      </c>
      <c r="C1282" s="174"/>
      <c r="D1282" s="21" t="s">
        <v>2216</v>
      </c>
      <c r="E1282" s="204"/>
      <c r="F1282" s="204"/>
      <c r="G1282" s="59"/>
      <c r="I1282" s="193"/>
      <c r="J1282" s="15"/>
      <c r="K1282" s="25">
        <v>75000000</v>
      </c>
      <c r="L1282" s="13"/>
      <c r="M1282" s="17"/>
      <c r="N1282" s="161"/>
      <c r="O1282" s="50"/>
      <c r="P1282" s="17"/>
      <c r="Q1282" s="17"/>
      <c r="R1282" s="17"/>
      <c r="S1282" s="17"/>
      <c r="T1282" s="124"/>
      <c r="U1282" s="124"/>
      <c r="V1282" s="124"/>
      <c r="W1282" s="124"/>
      <c r="X1282" s="124"/>
      <c r="Y1282" s="19">
        <v>100</v>
      </c>
      <c r="Z1282" s="19">
        <v>100</v>
      </c>
      <c r="AA1282" s="22">
        <v>1395000</v>
      </c>
      <c r="AB1282" s="19">
        <f t="shared" si="423"/>
        <v>1.8599999999999999</v>
      </c>
      <c r="AC1282" s="20"/>
      <c r="AD1282" s="19">
        <f t="shared" si="424"/>
        <v>0</v>
      </c>
    </row>
    <row r="1283" spans="1:30" s="89" customFormat="1" ht="25.5" customHeight="1">
      <c r="A1283" s="723"/>
      <c r="B1283" s="13"/>
      <c r="C1283" s="174"/>
      <c r="D1283" s="14" t="s">
        <v>2217</v>
      </c>
      <c r="E1283" s="204"/>
      <c r="F1283" s="204"/>
      <c r="G1283" s="59"/>
      <c r="I1283" s="193"/>
      <c r="J1283" s="15"/>
      <c r="K1283" s="25"/>
      <c r="L1283" s="13"/>
      <c r="M1283" s="17"/>
      <c r="N1283" s="161"/>
      <c r="O1283" s="50"/>
      <c r="P1283" s="17"/>
      <c r="Q1283" s="17"/>
      <c r="R1283" s="17"/>
      <c r="S1283" s="17"/>
      <c r="T1283" s="124"/>
      <c r="U1283" s="124"/>
      <c r="V1283" s="124"/>
      <c r="W1283" s="124"/>
      <c r="X1283" s="124"/>
      <c r="Y1283" s="19"/>
      <c r="Z1283" s="19"/>
      <c r="AA1283" s="22"/>
      <c r="AB1283" s="19"/>
      <c r="AC1283" s="20"/>
      <c r="AD1283" s="19"/>
    </row>
    <row r="1284" spans="1:30" s="89" customFormat="1" ht="30" customHeight="1">
      <c r="A1284" s="723"/>
      <c r="B1284" s="13">
        <f>B1282+1</f>
        <v>212</v>
      </c>
      <c r="C1284" s="174"/>
      <c r="D1284" s="21" t="s">
        <v>2218</v>
      </c>
      <c r="E1284" s="204"/>
      <c r="F1284" s="204"/>
      <c r="G1284" s="59"/>
      <c r="I1284" s="193"/>
      <c r="J1284" s="15"/>
      <c r="K1284" s="25">
        <v>167500000</v>
      </c>
      <c r="L1284" s="13"/>
      <c r="M1284" s="17"/>
      <c r="N1284" s="161"/>
      <c r="O1284" s="50"/>
      <c r="P1284" s="17"/>
      <c r="Q1284" s="17"/>
      <c r="R1284" s="17"/>
      <c r="S1284" s="17"/>
      <c r="T1284" s="124"/>
      <c r="U1284" s="124"/>
      <c r="V1284" s="124"/>
      <c r="W1284" s="124"/>
      <c r="X1284" s="124"/>
      <c r="Y1284" s="19">
        <v>100</v>
      </c>
      <c r="Z1284" s="19">
        <v>100</v>
      </c>
      <c r="AA1284" s="22">
        <v>154443000</v>
      </c>
      <c r="AB1284" s="19">
        <f t="shared" si="423"/>
        <v>92.204776119402993</v>
      </c>
      <c r="AC1284" s="20"/>
      <c r="AD1284" s="19">
        <f t="shared" si="424"/>
        <v>0</v>
      </c>
    </row>
    <row r="1285" spans="1:30" s="89" customFormat="1" ht="20.25" customHeight="1">
      <c r="A1285" s="723"/>
      <c r="B1285" s="13"/>
      <c r="C1285" s="174"/>
      <c r="D1285" s="14" t="s">
        <v>2219</v>
      </c>
      <c r="E1285" s="204"/>
      <c r="F1285" s="204"/>
      <c r="G1285" s="59"/>
      <c r="I1285" s="193"/>
      <c r="J1285" s="15"/>
      <c r="K1285" s="25"/>
      <c r="L1285" s="13"/>
      <c r="M1285" s="17"/>
      <c r="N1285" s="161"/>
      <c r="O1285" s="50"/>
      <c r="P1285" s="17"/>
      <c r="Q1285" s="17"/>
      <c r="R1285" s="17"/>
      <c r="S1285" s="17"/>
      <c r="T1285" s="124"/>
      <c r="U1285" s="124"/>
      <c r="V1285" s="124"/>
      <c r="W1285" s="124"/>
      <c r="X1285" s="124"/>
      <c r="Y1285" s="19"/>
      <c r="Z1285" s="19"/>
      <c r="AA1285" s="22"/>
      <c r="AB1285" s="19"/>
      <c r="AC1285" s="20"/>
      <c r="AD1285" s="19"/>
    </row>
    <row r="1286" spans="1:30" s="89" customFormat="1" ht="31.5" customHeight="1">
      <c r="A1286" s="723"/>
      <c r="B1286" s="13"/>
      <c r="C1286" s="174"/>
      <c r="D1286" s="14" t="s">
        <v>571</v>
      </c>
      <c r="E1286" s="204"/>
      <c r="F1286" s="204"/>
      <c r="G1286" s="59"/>
      <c r="I1286" s="193"/>
      <c r="J1286" s="15"/>
      <c r="K1286" s="25"/>
      <c r="L1286" s="13"/>
      <c r="M1286" s="17"/>
      <c r="N1286" s="161"/>
      <c r="O1286" s="50"/>
      <c r="P1286" s="17"/>
      <c r="Q1286" s="17"/>
      <c r="R1286" s="17"/>
      <c r="S1286" s="17"/>
      <c r="T1286" s="124"/>
      <c r="U1286" s="124"/>
      <c r="V1286" s="124"/>
      <c r="W1286" s="124"/>
      <c r="X1286" s="124"/>
      <c r="Y1286" s="19"/>
      <c r="Z1286" s="19"/>
      <c r="AA1286" s="22"/>
      <c r="AB1286" s="19"/>
      <c r="AC1286" s="20"/>
      <c r="AD1286" s="19"/>
    </row>
    <row r="1287" spans="1:30" s="89" customFormat="1" ht="19.5" customHeight="1">
      <c r="A1287" s="723"/>
      <c r="B1287" s="13">
        <f>B1284+1</f>
        <v>213</v>
      </c>
      <c r="C1287" s="174"/>
      <c r="D1287" s="21" t="s">
        <v>2221</v>
      </c>
      <c r="E1287" s="204"/>
      <c r="F1287" s="204"/>
      <c r="G1287" s="59"/>
      <c r="I1287" s="193"/>
      <c r="J1287" s="15"/>
      <c r="K1287" s="25">
        <v>5600000</v>
      </c>
      <c r="L1287" s="13"/>
      <c r="M1287" s="17"/>
      <c r="N1287" s="161"/>
      <c r="O1287" s="50"/>
      <c r="P1287" s="17"/>
      <c r="Q1287" s="17"/>
      <c r="R1287" s="17"/>
      <c r="S1287" s="17"/>
      <c r="T1287" s="124"/>
      <c r="U1287" s="124"/>
      <c r="V1287" s="124"/>
      <c r="W1287" s="124"/>
      <c r="X1287" s="124"/>
      <c r="Y1287" s="19">
        <v>100</v>
      </c>
      <c r="Z1287" s="19">
        <v>100</v>
      </c>
      <c r="AA1287" s="22">
        <v>0</v>
      </c>
      <c r="AB1287" s="19">
        <f t="shared" ref="AB1287:AB1293" si="429">AA1287/K1287*100</f>
        <v>0</v>
      </c>
      <c r="AC1287" s="20"/>
      <c r="AD1287" s="19">
        <f t="shared" ref="AD1287:AD1293" si="430">AC1287/K1287*100</f>
        <v>0</v>
      </c>
    </row>
    <row r="1288" spans="1:30" s="89" customFormat="1" ht="27.75" customHeight="1">
      <c r="A1288" s="723"/>
      <c r="B1288" s="13">
        <f>B1287+1</f>
        <v>214</v>
      </c>
      <c r="C1288" s="174"/>
      <c r="D1288" s="21" t="s">
        <v>2222</v>
      </c>
      <c r="E1288" s="204"/>
      <c r="F1288" s="204"/>
      <c r="G1288" s="59"/>
      <c r="I1288" s="193"/>
      <c r="J1288" s="15"/>
      <c r="K1288" s="25">
        <v>81000000</v>
      </c>
      <c r="L1288" s="13"/>
      <c r="M1288" s="17"/>
      <c r="N1288" s="161" t="s">
        <v>2381</v>
      </c>
      <c r="O1288" s="50" t="s">
        <v>2382</v>
      </c>
      <c r="P1288" s="50" t="s">
        <v>2383</v>
      </c>
      <c r="Q1288" s="17"/>
      <c r="R1288" s="17"/>
      <c r="S1288" s="17"/>
      <c r="T1288" s="124"/>
      <c r="U1288" s="124"/>
      <c r="V1288" s="124"/>
      <c r="W1288" s="124"/>
      <c r="X1288" s="124"/>
      <c r="Y1288" s="19">
        <v>100</v>
      </c>
      <c r="Z1288" s="19">
        <v>100</v>
      </c>
      <c r="AA1288" s="22">
        <v>80940000</v>
      </c>
      <c r="AB1288" s="19">
        <f t="shared" si="429"/>
        <v>99.925925925925924</v>
      </c>
      <c r="AC1288" s="20"/>
      <c r="AD1288" s="19">
        <f t="shared" si="430"/>
        <v>0</v>
      </c>
    </row>
    <row r="1289" spans="1:30" s="89" customFormat="1" ht="16.5" customHeight="1">
      <c r="A1289" s="723"/>
      <c r="B1289" s="13">
        <f t="shared" ref="B1289:B1293" si="431">B1288+1</f>
        <v>215</v>
      </c>
      <c r="C1289" s="174"/>
      <c r="D1289" s="21" t="s">
        <v>2223</v>
      </c>
      <c r="E1289" s="204"/>
      <c r="F1289" s="204"/>
      <c r="G1289" s="59"/>
      <c r="I1289" s="193"/>
      <c r="J1289" s="15"/>
      <c r="K1289" s="25">
        <v>350000000</v>
      </c>
      <c r="L1289" s="13"/>
      <c r="M1289" s="17"/>
      <c r="N1289" s="161"/>
      <c r="O1289" s="50"/>
      <c r="P1289" s="17"/>
      <c r="Q1289" s="17"/>
      <c r="R1289" s="17"/>
      <c r="S1289" s="17"/>
      <c r="T1289" s="124"/>
      <c r="U1289" s="124"/>
      <c r="V1289" s="124"/>
      <c r="W1289" s="124"/>
      <c r="X1289" s="124"/>
      <c r="Y1289" s="19">
        <v>100</v>
      </c>
      <c r="Z1289" s="19">
        <v>100</v>
      </c>
      <c r="AA1289" s="22">
        <v>322950000</v>
      </c>
      <c r="AB1289" s="19">
        <f t="shared" si="429"/>
        <v>92.271428571428572</v>
      </c>
      <c r="AC1289" s="20"/>
      <c r="AD1289" s="19">
        <f t="shared" si="430"/>
        <v>0</v>
      </c>
    </row>
    <row r="1290" spans="1:30" s="89" customFormat="1" ht="33.75" customHeight="1">
      <c r="A1290" s="723"/>
      <c r="B1290" s="13">
        <f t="shared" si="431"/>
        <v>216</v>
      </c>
      <c r="C1290" s="174"/>
      <c r="D1290" s="21" t="s">
        <v>2227</v>
      </c>
      <c r="E1290" s="204"/>
      <c r="F1290" s="204"/>
      <c r="G1290" s="59"/>
      <c r="I1290" s="193"/>
      <c r="J1290" s="15"/>
      <c r="K1290" s="25">
        <v>195000000</v>
      </c>
      <c r="L1290" s="13"/>
      <c r="M1290" s="17"/>
      <c r="N1290" s="161" t="s">
        <v>2384</v>
      </c>
      <c r="O1290" s="50" t="s">
        <v>2382</v>
      </c>
      <c r="P1290" s="50" t="s">
        <v>2383</v>
      </c>
      <c r="Q1290" s="17"/>
      <c r="R1290" s="17"/>
      <c r="S1290" s="17"/>
      <c r="T1290" s="124"/>
      <c r="U1290" s="124"/>
      <c r="V1290" s="124"/>
      <c r="W1290" s="124"/>
      <c r="X1290" s="124"/>
      <c r="Y1290" s="19">
        <v>100</v>
      </c>
      <c r="Z1290" s="19">
        <v>100</v>
      </c>
      <c r="AA1290" s="22">
        <v>194980000</v>
      </c>
      <c r="AB1290" s="19">
        <f t="shared" si="429"/>
        <v>99.989743589743583</v>
      </c>
      <c r="AC1290" s="20"/>
      <c r="AD1290" s="19">
        <f t="shared" si="430"/>
        <v>0</v>
      </c>
    </row>
    <row r="1291" spans="1:30" s="89" customFormat="1" ht="27" customHeight="1">
      <c r="A1291" s="723"/>
      <c r="B1291" s="13">
        <f t="shared" si="431"/>
        <v>217</v>
      </c>
      <c r="C1291" s="174"/>
      <c r="D1291" s="21" t="s">
        <v>2224</v>
      </c>
      <c r="E1291" s="204"/>
      <c r="F1291" s="204"/>
      <c r="G1291" s="59"/>
      <c r="I1291" s="193"/>
      <c r="J1291" s="15"/>
      <c r="K1291" s="25">
        <v>197000000</v>
      </c>
      <c r="L1291" s="13"/>
      <c r="M1291" s="17"/>
      <c r="N1291" s="161" t="s">
        <v>2385</v>
      </c>
      <c r="O1291" s="50" t="s">
        <v>2382</v>
      </c>
      <c r="P1291" s="50" t="s">
        <v>2383</v>
      </c>
      <c r="Q1291" s="17"/>
      <c r="R1291" s="17"/>
      <c r="S1291" s="17"/>
      <c r="T1291" s="124"/>
      <c r="U1291" s="124"/>
      <c r="V1291" s="124"/>
      <c r="W1291" s="124"/>
      <c r="X1291" s="124"/>
      <c r="Y1291" s="19">
        <v>100</v>
      </c>
      <c r="Z1291" s="19">
        <v>100</v>
      </c>
      <c r="AA1291" s="22">
        <v>196874000</v>
      </c>
      <c r="AB1291" s="19">
        <f t="shared" si="429"/>
        <v>99.936040609137052</v>
      </c>
      <c r="AC1291" s="20"/>
      <c r="AD1291" s="19">
        <f t="shared" si="430"/>
        <v>0</v>
      </c>
    </row>
    <row r="1292" spans="1:30" s="89" customFormat="1" ht="31.5" customHeight="1">
      <c r="A1292" s="723"/>
      <c r="B1292" s="13">
        <f t="shared" si="431"/>
        <v>218</v>
      </c>
      <c r="C1292" s="174"/>
      <c r="D1292" s="21" t="s">
        <v>2225</v>
      </c>
      <c r="E1292" s="204"/>
      <c r="F1292" s="204"/>
      <c r="G1292" s="59"/>
      <c r="I1292" s="193"/>
      <c r="J1292" s="15"/>
      <c r="K1292" s="25">
        <v>150000000</v>
      </c>
      <c r="L1292" s="13"/>
      <c r="M1292" s="17"/>
      <c r="N1292" s="161" t="s">
        <v>2386</v>
      </c>
      <c r="O1292" s="50" t="s">
        <v>2382</v>
      </c>
      <c r="P1292" s="50" t="s">
        <v>2383</v>
      </c>
      <c r="Q1292" s="17"/>
      <c r="R1292" s="17"/>
      <c r="S1292" s="17"/>
      <c r="T1292" s="124"/>
      <c r="U1292" s="124"/>
      <c r="V1292" s="124"/>
      <c r="W1292" s="124"/>
      <c r="X1292" s="124"/>
      <c r="Y1292" s="19">
        <v>100</v>
      </c>
      <c r="Z1292" s="19">
        <v>100</v>
      </c>
      <c r="AA1292" s="22">
        <v>149875000</v>
      </c>
      <c r="AB1292" s="19">
        <f t="shared" si="429"/>
        <v>99.916666666666671</v>
      </c>
      <c r="AC1292" s="20"/>
      <c r="AD1292" s="19">
        <f t="shared" si="430"/>
        <v>0</v>
      </c>
    </row>
    <row r="1293" spans="1:30" s="89" customFormat="1" ht="19.5" customHeight="1">
      <c r="A1293" s="723"/>
      <c r="B1293" s="13">
        <f t="shared" si="431"/>
        <v>219</v>
      </c>
      <c r="C1293" s="174"/>
      <c r="D1293" s="21" t="s">
        <v>2226</v>
      </c>
      <c r="E1293" s="204"/>
      <c r="F1293" s="204"/>
      <c r="G1293" s="59"/>
      <c r="I1293" s="193"/>
      <c r="J1293" s="15"/>
      <c r="K1293" s="25">
        <v>55000000</v>
      </c>
      <c r="L1293" s="13"/>
      <c r="M1293" s="17"/>
      <c r="N1293" s="161"/>
      <c r="O1293" s="50"/>
      <c r="P1293" s="17"/>
      <c r="Q1293" s="17"/>
      <c r="R1293" s="17"/>
      <c r="S1293" s="17"/>
      <c r="T1293" s="124"/>
      <c r="U1293" s="124"/>
      <c r="V1293" s="124"/>
      <c r="W1293" s="124"/>
      <c r="X1293" s="124"/>
      <c r="Y1293" s="19">
        <v>100</v>
      </c>
      <c r="Z1293" s="19">
        <v>100</v>
      </c>
      <c r="AA1293" s="22">
        <v>49854000</v>
      </c>
      <c r="AB1293" s="19">
        <f t="shared" si="429"/>
        <v>90.643636363636361</v>
      </c>
      <c r="AC1293" s="20"/>
      <c r="AD1293" s="19">
        <f t="shared" si="430"/>
        <v>0</v>
      </c>
    </row>
    <row r="1294" spans="1:30" ht="21" customHeight="1">
      <c r="A1294" s="1">
        <v>185</v>
      </c>
      <c r="B1294" s="37">
        <v>119</v>
      </c>
      <c r="C1294" s="855" t="s">
        <v>582</v>
      </c>
      <c r="D1294" s="855"/>
      <c r="E1294" s="483"/>
      <c r="F1294" s="620">
        <v>218</v>
      </c>
      <c r="G1294" s="521" t="s">
        <v>1845</v>
      </c>
      <c r="H1294" s="620">
        <v>1</v>
      </c>
      <c r="I1294" s="521" t="s">
        <v>1845</v>
      </c>
      <c r="J1294" s="35">
        <f>SUM(J1029+J1031+J1033+J1034+J1035+J1036+J1037+J1038+J1039+J1044+J1046+J1047+J1048+J1049+J1050+J1051+J1053+J1054+J1055+J1056+J1057+J1058+J1059+J1060+J1061+J1062+J1063+J1064+J1065+J1066+J1067+J1068+J1069+J1070+J1071+J1072+J1073+J1074+J1075+J1076+J1077+J1078+J1079+J1080+J1081+J1082+J1083+J1084+J1085+J1086+J1087+J1088+J1089+J1090+J1091+J1092+J1093+J1094+J1095+J1096+J1097+J1098+J1099+J1100+J1101+J1102+J1103+J1104+J1105+J1106+J1107+J1108+J1109+J1110+J1111+J1112+J1113+J1114+J1115+J1116+J1117+J1118+J1119+J1120+J1121+J1122+J1123+J1124+J1125+J1126+J1127+J1129+J1130+J1131+J1132+J1133+J1134+J1135+J1136+J1137+J1138+J1139+J1140+J1141+J1142+J1143+J1144+J1145+J1146+J1147+J1149+J1150+J1151+J1152+J1153+J1154+J1155+J1157+J1158+J1159+J1160+J1167+J1180+J1181+J1183+J1184+J1186+J1187+J1188+J1189+J1190+J1191+J1192+J1193+J1194+J1195+J1196+J1198+J1200+J1202+J1203+J1204+J1205+J1206+J1207+J1208+J1209+J1210)</f>
        <v>142886531000</v>
      </c>
      <c r="K1294" s="35">
        <f>SUM(K1029+K1031+K1033+K1034+K1035+K1036+K1037+K1038+K1039+K1044+K1046+K1047+K1048+K1049+K1050+K1051+K1053+K1054+K1055+K1056+K1057+K1058+K1059+K1060+K1061+K1062+K1063+K1064+K1065+K1066+K1067+K1068+K1069+K1070+K1071+K1072+K1073+K1074+K1075+K1076+K1077+K1078+K1079+K1080+K1081+K1082+K1083+K1084+K1085+K1086+K1087+K1088+K1089+K1090+K1091+K1092+K1093+K1094+K1095+K1096+K1097+K1098+K1099+K1100+K1101+K1102+K1103+K1104+K1105+K1106+K1107+K1108+K1109+K1110+K1111+K1112+K1113+K1114+K1115+K1116+K1117+K1118+K1119+K1120+K1121+K1122+K1123+K1124+K1125+K1126+K1127+K1129+K1130+K1131+K1132+K1133+K1134+K1135+K1136+K1137+K1138+K1139+K1140+K1141+K1142+K1143+K1144+K1145+K1146+K1147+K1149+K1150+K1151+K1152+K1153+K1154+K1155+K1157+K1158+K1159+K1160+K1167+K1180+K1181+K1183+K1184+K1186+K1187+K1188+K1189+K1190+K1191+K1192+K1193+K1194+K1195+K1196+K1198+K1200+K1202+K1203+K1204+K1205+K1206+K1207+K1208+K1209+K1210+K1214+K1215+K1216+K1217+K1218+K1219+K1222+K1223+K1224+K1225+K1226+K1227+K1228+K1229+K1230+K1231+K1232+K1233+K1234+K1235+K1236+K1237+K1238+K1239+K1240+K1241+K1242+K1243+K1244+K1245+K1246+K1247+K1248+K1249+K1250+K1251+K1252+K1253+K1254+K1255+K1256+K1257+K1258+K1259+K1260+K1261+K1264+K1265+K1266+K1267+K1268+K1269+K1271+K1272+K1273+K1274+K1276+K1277+K1278+K1279+K1280+K1281+K1282+K1284+K1287+K1288+K1289+K1290+K1291+K1292+K1293)</f>
        <v>192133977000</v>
      </c>
      <c r="L1294" s="37"/>
      <c r="M1294" s="38"/>
      <c r="N1294" s="38"/>
      <c r="O1294" s="38"/>
      <c r="P1294" s="38"/>
      <c r="Q1294" s="38"/>
      <c r="R1294" s="38"/>
      <c r="S1294" s="38"/>
      <c r="T1294" s="35">
        <v>99</v>
      </c>
      <c r="U1294" s="35">
        <v>1</v>
      </c>
      <c r="V1294" s="35">
        <f>SUM(V1029:V1210)</f>
        <v>92</v>
      </c>
      <c r="W1294" s="35">
        <f>SUM(W1029:W1210)</f>
        <v>1</v>
      </c>
      <c r="X1294" s="35">
        <v>5</v>
      </c>
      <c r="Y1294" s="82">
        <f>SUM(Y1029+Y1031+Y1033+Y1034+Y1035+Y1036+Y1037+Y1038+Y1039+Y1044+Y1046+Y1047+Y1048+Y1049+Y1050+Y1051+Y1053+Y1054+Y1055+Y1056+Y1057+Y1058+Y1059+Y1060+Y1061+Y1062+Y1063+Y1064+Y1065+Y1066+Y1067+Y1068+Y1069+Y1070+Y1071+Y1072+Y1073+Y1074+Y1075+Y1076+Y1077+Y1078+Y1079+Y1080+Y1081+Y1082+Y1083+Y1084+Y1085+Y1086+Y1087+Y1088+Y1089+Y1090+Y1091+Y1092+Y1093+Y1094+Y1095+Y1096+Y1097+Y1098+Y1099+Y1100+Y1101+Y1102+Y1103+Y1104+Y1105+Y1106+Y1107+Y1108+Y1109+Y1110+Y1111+Y1112+Y1113+Y1114+Y1115+Y1116+Y1117+Y1118+Y1119+Y1120+Y1121+Y1122+Y1123+Y1124+Y1125+Y1126+Y1127+Y1129+Y1130+Y1131+Y1132+Y1133+Y1134+Y1135+Y1136+Y1137+Y1138+Y1139+Y1140+Y1141+Y1142+Y1143+Y1144+Y1145+Y1146+Y1147+Y1149+Y1150+Y1151+Y1152+Y1153+Y1154+Y1155+Y1157+Y1158+Y1159+Y1160+Y1167+Y1180+Y1181+Y1183+Y1184+Y1186+Y1187+Y1188+Y1189+Y1190+Y1191+Y1192+Y1193+Y1194+Y1195+Y1196+Y1198+Y1200+Y1202+Y1203+Y1204+Y1205+Y1206+Y1207+Y1208+Y1209+Y1210+Y1214+Y1215+Y1216+Y1217+Y1218+Y1219+Y1222+Y1223+Y1224+Y1225+Y1226+Y1227+Y1228+Y1229+Y1230+Y1231+Y1232+Y1233+Y1234+Y1235+Y1236+Y1237+Y1238+Y1239+Y1240+Y1241+Y1242+Y1243+Y1244+Y1245+Y1246+Y1247+Y1248+Y1249+Y1250+Y1251+Y1252+Y1253+Y1254+Y1255+Y1256+Y1257+Y1258+Y1259+Y1260+Y1261+Y1264+Y1265+Y1266+Y1267+Y1268+Y1269+Y1271+Y1272+Y1273+Y1274+Y1276+Y1277+Y1278+Y1279+Y1280+Y1281+Y1282+Y1284+Y1287+Y1288+Y1289+Y1290+Y1291+Y1292+Y1293)/218</f>
        <v>97.477064220183493</v>
      </c>
      <c r="Z1294" s="82">
        <f>SUM(Z1029+Z1031+Z1033+Z1034+Z1035+Z1036+Z1037+Z1038+Z1039+Z1044+Z1046+Z1047+Z1048+Z1049+Z1050+Z1051+Z1053+Z1054+Z1055+Z1056+Z1057+Z1058+Z1059+Z1060+Z1061+Z1062+Z1063+Z1064+Z1065+Z1066+Z1067+Z1068+Z1069+Z1070+Z1071+Z1072+Z1073+Z1074+Z1075+Z1076+Z1077+Z1078+Z1079+Z1080+Z1081+Z1082+Z1083+Z1084+Z1085+Z1086+Z1087+Z1088+Z1089+Z1090+Z1091+Z1092+Z1093+Z1094+Z1095+Z1096+Z1097+Z1098+Z1099+Z1100+Z1101+Z1102+Z1103+Z1104+Z1105+Z1106+Z1107+Z1108+Z1109+Z1110+Z1111+Z1112+Z1113+Z1114+Z1115+Z1116+Z1117+Z1118+Z1119+Z1120+Z1121+Z1122+Z1123+Z1124+Z1125+Z1126+Z1127+Z1129+Z1130+Z1131+Z1132+Z1133+Z1134+Z1135+Z1136+Z1137+Z1138+Z1139+Z1140+Z1141+Z1142+Z1143+Z1144+Z1145+Z1146+Z1147+Z1149+Z1150+Z1151+Z1152+Z1153+Z1154+Z1155+Z1157+Z1158+Z1159+Z1160+Z1167+Z1180+Z1181+Z1183+Z1184+Z1186+Z1187+Z1188+Z1189+Z1190+Z1191+Z1192+Z1193+Z1194+Z1195+Z1196+Z1198+Z1200+Z1202+Z1203+Z1204+Z1205+Z1206+Z1207+Z1208+Z1209+Z1210+Z1214+Z1215+Z1216+Z1217+Z1218+Z1219+Z1222+Z1223+Z1224+Z1225+Z1226+Z1227+Z1228+Z1229+Z1230+Z1231+Z1232+Z1233+Z1234+Z1235+Z1236+Z1237+Z1238+Z1239+Z1240+Z1241+Z1242+Z1243+Z1244+Z1245+Z1246+Z1247+Z1248+Z1249+Z1250+Z1251+Z1252+Z1253+Z1254+Z1255+Z1256+Z1257+Z1258+Z1259+Z1260+Z1261+Z1264+Z1265+Z1266+Z1267+Z1268+Z1269+Z1271+Z1272+Z1273+Z1274+Z1276+Z1277+Z1278+Z1279+Z1280+Z1281+Z1282+Z1284+Z1287+Z1288+Z1289+Z1290+Z1291+Z1292+Z1293)/218</f>
        <v>97.804403669724778</v>
      </c>
      <c r="AA1294" s="35">
        <f>SUM(AA1029+AA1031+AA1033+AA1034+AA1035+AA1036+AA1037+AA1038+AA1039+AA1044+AA1046+AA1047+AA1048+AA1049+AA1050+AA1051+AA1053+AA1054+AA1055+AA1056+AA1057+AA1058+AA1059+AA1060+AA1061+AA1062+AA1063+AA1064+AA1065+AA1066+AA1067+AA1068+AA1069+AA1070+AA1071+AA1072+AA1073+AA1074+AA1075+AA1076+AA1077+AA1078+AA1079+AA1080+AA1081+AA1082+AA1083+AA1084+AA1085+AA1086+AA1087+AA1088+AA1089+AA1090+AA1091+AA1092+AA1093+AA1094+AA1095+AA1096+AA1097+AA1098+AA1099+AA1100+AA1101+AA1102+AA1103+AA1104+AA1105+AA1106+AA1107+AA1108+AA1109+AA1110+AA1111+AA1112+AA1113+AA1114+AA1115+AA1116+AA1117+AA1118+AA1119+AA1120+AA1121+AA1122+AA1123+AA1124+AA1125+AA1126+AA1127+AA1129+AA1130+AA1131+AA1132+AA1133+AA1134+AA1135+AA1136+AA1137+AA1138+AA1139+AA1140+AA1141+AA1142+AA1143+AA1144+AA1145+AA1146+AA1147+AA1149+AA1150+AA1151+AA1152+AA1153+AA1154+AA1155+AA1157+AA1158+AA1159+AA1160+AA1167+AA1180+AA1181+AA1183+AA1184+AA1186+AA1187+AA1188+AA1189+AA1190+AA1191+AA1192+AA1193+AA1194+AA1195+AA1196+AA1198+AA1200+AA1202+AA1203+AA1204+AA1205+AA1206+AA1207+AA1208+AA1209+AA1210+AA1214+AA1215+AA1216+AA1217+AA1218+AA1219+AA1222+AA1223+AA1224+AA1225+AA1226+AA1227+AA1228+AA1229+AA1230+AA1231+AA1232+AA1233+AA1234+AA1235+AA1236+AA1237+AA1238+AA1239+AA1240+AA1241+AA1242+AA1243+AA1244+AA1245+AA1246+AA1247+AA1248+AA1249+AA1250+AA1251+AA1252+AA1253+AA1254+AA1255+AA1256+AA1257+AA1258+AA1259+AA1260+AA1261+AA1264+AA1265+AA1266+AA1267+AA1268+AA1269+AA1271+AA1272+AA1273+AA1274+AA1276+AA1277+AA1278+AA1279+AA1280+AA1281+AA1282+AA1284+AA1287+AA1288+AA1289+AA1290+AA1291+AA1292+AA1293)</f>
        <v>150836875244</v>
      </c>
      <c r="AB1294" s="82">
        <f>SUM(AB1029+AB1031+AB1033+AB1034+AB1035+AB1036+AB1037+AB1038+AB1039+AB1044+AB1046+AB1047+AB1048+AB1049+AB1050+AB1051+AB1053+AB1054+AB1055+AB1056+AB1057+AB1058+AB1059+AB1060+AB1061+AB1062+AB1063+AB1064+AB1065+AB1066+AB1067+AB1068+AB1069+AB1070+AB1071+AB1072+AB1073+AB1074+AB1075+AB1076+AB1077+AB1078+AB1079+AB1080+AB1081+AB1082+AB1083+AB1084+AB1085+AB1086+AB1087+AB1088+AB1089+AB1090+AB1091+AB1092+AB1093+AB1094+AB1095+AB1096+AB1097+AB1098+AB1099+AB1100+AB1101+AB1102+AB1103+AB1104+AB1105+AB1106+AB1107+AB1108+AB1109+AB1110+AB1111+AB1112+AB1113+AB1114+AB1115+AB1116+AB1117+AB1118+AB1119+AB1120+AB1121+AB1122+AB1123+AB1124+AB1125+AB1126+AB1127+AB1129+AB1130+AB1131+AB1132+AB1133+AB1134+AB1135+AB1136+AB1137+AB1138+AB1139+AB1140+AB1141+AB1142+AB1143+AB1144+AB1145+AB1146+AB1147+AB1149+AB1150+AB1151+AB1152+AB1153+AB1154+AB1155+AB1157+AB1158+AB1159+AB1160+AB1167+AB1180+AB1181+AB1183+AB1184+AB1186+AB1187+AB1188+AB1189+AB1190+AB1191+AB1192+AB1193+AB1194+AB1195+AB1196+AB1198+AB1200+AB1202+AB1203+AB1204+AB1205+AB1206+AB1207+AB1208+AB1209+AB1210+AB1214+AB1215+AB1216+AB1217+AB1218+AB1219+AB1222+AB1223+AB1224+AB1225+AB1226+AB1227+AB1228+AB1229+AB1230+AB1231+AB1232+AB1233+AB1234+AB1235+AB1236+AB1237+AB1238+AB1239+AB1240+AB1241+AB1242+AB1243+AB1244+AB1245+AB1246+AB1247+AB1248+AB1249+AB1250+AB1251+AB1252+AB1253+AB1254+AB1255+AB1256+AB1257+AB1258+AB1259+AB1260+AB1261+AB1264+AB1265+AB1266+AB1267+AB1268+AB1269+AB1271+AB1272+AB1273+AB1274+AB1276+AB1277+AB1278+AB1279+AB1280+AB1281+AB1282+AB1284+AB1287+AB1288+AB1289+AB1290+AB1291+AB1292+AB1293)/218</f>
        <v>83.905319232215447</v>
      </c>
      <c r="AC1294" s="35">
        <f>SUM(AC1029+AC1031+AC1033+AC1034+AC1035+AC1036+AC1037+AC1038+AC1039+AC1044+AC1046+AC1047+AC1048+AC1049+AC1050+AC1051+AC1053+AC1054+AC1055+AC1056+AC1057+AC1058+AC1059+AC1060+AC1061+AC1062+AC1063+AC1064+AC1065+AC1066+AC1067+AC1068+AC1069+AC1070+AC1071+AC1072+AC1073+AC1074+AC1075+AC1076+AC1077+AC1078+AC1079+AC1080+AC1081+AC1082+AC1083+AC1084+AC1085+AC1086+AC1087+AC1088+AC1089+AC1090+AC1091+AC1092+AC1093+AC1094+AC1095+AC1096+AC1097+AC1098+AC1099+AC1100+AC1101+AC1102+AC1103+AC1104+AC1105+AC1106+AC1107+AC1108+AC1109+AC1110+AC1111+AC1112+AC1113+AC1114+AC1115+AC1116+AC1117+AC1118+AC1119+AC1120+AC1121+AC1122+AC1123+AC1124+AC1125+AC1126+AC1127+AC1129+AC1130+AC1131+AC1132+AC1133+AC1134+AC1135+AC1136+AC1137+AC1138+AC1139+AC1140+AC1141+AC1142+AC1143+AC1144+AC1145+AC1146+AC1147+AC1149+AC1150+AC1151+AC1152+AC1153+AC1154+AC1155+AC1157+AC1158+AC1159+AC1160+AC1167+AC1180+AC1181+AC1183+AC1184+AC1186+AC1187+AC1188+AC1189+AC1190+AC1191+AC1192+AC1193+AC1194+AC1195+AC1196+AC1198+AC1200+AC1202+AC1203+AC1204+AC1205+AC1206+AC1207+AC1208+AC1209+AC1210+AC1214+AC1215+AC1216+AC1217+AC1218+AC1219+AC1222+AC1223+AC1224+AC1225+AC1226+AC1227+AC1228+AC1229+AC1230+AC1231+AC1232+AC1233+AC1234+AC1235+AC1236+AC1237+AC1238+AC1239+AC1240+AC1241+AC1242+AC1243+AC1244+AC1245+AC1246+AC1247+AC1248+AC1249+AC1250+AC1251+AC1252+AC1253+AC1254+AC1255+AC1256+AC1257+AC1258+AC1259+AC1260+AC1261+AC1264+AC1265+AC1266+AC1267+AC1268+AC1269+AC1271+AC1272+AC1273+AC1274+AC1276+AC1277+AC1278+AC1279+AC1280+AC1281+AC1282+AC1284+AC1287+AC1288+AC1289+AC1290+AC1291+AC1292+AC1293)</f>
        <v>146550646869</v>
      </c>
      <c r="AD1294" s="82">
        <f>SUM(AD1029+AD1031+AD1033+AD1034+AD1035+AD1036+AD1037+AD1038+AD1039+AD1044+AD1046+AD1047+AD1048+AD1049+AD1050+AD1051+AD1053+AD1054+AD1055+AD1056+AD1057+AD1058+AD1059+AD1060+AD1061+AD1062+AD1063+AD1064+AD1065+AD1066+AD1067+AD1068+AD1069+AD1070+AD1071+AD1072+AD1073+AD1074+AD1075+AD1076+AD1077+AD1078+AD1079+AD1080+AD1081+AD1082+AD1083+AD1084+AD1085+AD1086+AD1087+AD1088+AD1089+AD1090+AD1091+AD1092+AD1093+AD1094+AD1095+AD1096+AD1097+AD1098+AD1099+AD1100+AD1101+AD1102+AD1103+AD1104+AD1105+AD1106+AD1107+AD1108+AD1109+AD1110+AD1111+AD1112+AD1113+AD1114+AD1115+AD1116+AD1117+AD1118+AD1119+AD1120+AD1121+AD1122+AD1123+AD1124+AD1125+AD1126+AD1127+AD1129+AD1130+AD1131+AD1132+AD1133+AD1134+AD1135+AD1136+AD1137+AD1138+AD1139+AD1140+AD1141+AD1142+AD1143+AD1144+AD1145+AD1146+AD1147+AD1149+AD1150+AD1151+AD1152+AD1153+AD1154+AD1155+AD1157+AD1158+AD1159+AD1160+AD1167+AD1180+AD1181+AD1183+AD1184+AD1186+AD1187+AD1188+AD1189+AD1190+AD1191+AD1192+AD1193+AD1194+AD1195+AD1196+AD1198+AD1200+AD1202+AD1203+AD1204+AD1205+AD1206+AD1207+AD1208+AD1209+AD1210+AD1214+AD1215+AD1216+AD1217+AD1218+AD1219+AD1222+AD1223+AD1224+AD1225+AD1226+AD1227+AD1228+AD1229+AD1230+AD1231+AD1232+AD1233+AD1234+AD1235+AD1236+AD1237+AD1238+AD1239+AD1240+AD1241+AD1242+AD1243+AD1244+AD1245+AD1246+AD1247+AD1248+AD1249+AD1250+AD1251+AD1252+AD1253+AD1254+AD1255+AD1256+AD1257+AD1258+AD1259+AD1260+AD1261+AD1264+AD1265+AD1266+AD1267+AD1268+AD1269+AD1271+AD1272+AD1273+AD1274+AD1276+AD1277+AD1278+AD1279+AD1280+AD1281+AD1282+AD1284+AD1287+AD1288+AD1289+AD1290+AD1291+AD1292+AD1293)/218</f>
        <v>72.821231708920692</v>
      </c>
    </row>
    <row r="1295" spans="1:30" ht="15.75">
      <c r="B1295" s="66"/>
      <c r="C1295" s="63" t="s">
        <v>583</v>
      </c>
      <c r="D1295" s="118" t="s">
        <v>584</v>
      </c>
      <c r="E1295" s="484"/>
      <c r="F1295" s="484"/>
      <c r="G1295" s="472"/>
      <c r="H1295" s="242"/>
      <c r="I1295" s="472"/>
      <c r="J1295" s="176"/>
      <c r="K1295" s="176"/>
      <c r="L1295" s="66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17"/>
      <c r="Z1295" s="17"/>
      <c r="AA1295" s="20"/>
      <c r="AB1295" s="98"/>
      <c r="AC1295" s="20"/>
      <c r="AD1295" s="19"/>
    </row>
    <row r="1296" spans="1:30" ht="27">
      <c r="B1296" s="13"/>
      <c r="C1296" s="86" t="s">
        <v>585</v>
      </c>
      <c r="D1296" s="86" t="s">
        <v>586</v>
      </c>
      <c r="E1296" s="488"/>
      <c r="F1296" s="488"/>
      <c r="G1296" s="475"/>
      <c r="H1296" s="585"/>
      <c r="I1296" s="475"/>
      <c r="J1296" s="130"/>
      <c r="K1296" s="130"/>
      <c r="L1296" s="10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659"/>
      <c r="AB1296" s="98"/>
      <c r="AC1296" s="20"/>
      <c r="AD1296" s="98"/>
    </row>
    <row r="1297" spans="2:31" ht="25.5">
      <c r="B1297" s="13">
        <f t="shared" ref="B1297:B1311" si="432">B1296+1</f>
        <v>1</v>
      </c>
      <c r="C1297" s="74" t="s">
        <v>219</v>
      </c>
      <c r="D1297" s="21" t="s">
        <v>587</v>
      </c>
      <c r="E1297" s="486"/>
      <c r="F1297" s="486"/>
      <c r="G1297" s="473"/>
      <c r="H1297" s="578"/>
      <c r="I1297" s="473"/>
      <c r="J1297" s="15">
        <v>60000000</v>
      </c>
      <c r="K1297" s="15">
        <v>67821000</v>
      </c>
      <c r="L1297" s="10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20">
        <v>100</v>
      </c>
      <c r="Z1297" s="20">
        <v>100</v>
      </c>
      <c r="AA1297" s="659">
        <v>50400500</v>
      </c>
      <c r="AB1297" s="98">
        <f>AA1297/K1297*100</f>
        <v>74.314003037407289</v>
      </c>
      <c r="AC1297" s="20">
        <f t="shared" ref="AC1297:AC1302" si="433">AA1297</f>
        <v>50400500</v>
      </c>
      <c r="AD1297" s="98">
        <f>AC1297/K1297*100</f>
        <v>74.314003037407289</v>
      </c>
      <c r="AE1297" s="2" t="s">
        <v>1</v>
      </c>
    </row>
    <row r="1298" spans="2:31">
      <c r="B1298" s="13">
        <f t="shared" si="432"/>
        <v>2</v>
      </c>
      <c r="C1298" s="81">
        <v>15.012</v>
      </c>
      <c r="D1298" s="21" t="s">
        <v>588</v>
      </c>
      <c r="E1298" s="486"/>
      <c r="F1298" s="486"/>
      <c r="G1298" s="473"/>
      <c r="H1298" s="578"/>
      <c r="I1298" s="473"/>
      <c r="J1298" s="15">
        <v>70000000</v>
      </c>
      <c r="K1298" s="15">
        <v>89297000</v>
      </c>
      <c r="L1298" s="13"/>
      <c r="M1298" s="25"/>
      <c r="N1298" s="49"/>
      <c r="O1298" s="401"/>
      <c r="P1298" s="401"/>
      <c r="Q1298" s="17"/>
      <c r="R1298" s="17"/>
      <c r="S1298" s="17"/>
      <c r="T1298" s="17"/>
      <c r="U1298" s="17"/>
      <c r="V1298" s="17"/>
      <c r="W1298" s="17"/>
      <c r="X1298" s="17"/>
      <c r="Y1298" s="98"/>
      <c r="Z1298" s="98">
        <v>0</v>
      </c>
      <c r="AA1298" s="659"/>
      <c r="AB1298" s="98">
        <f t="shared" ref="AB1298:AB1347" si="434">AA1298/K1298*100</f>
        <v>0</v>
      </c>
      <c r="AC1298" s="20">
        <f t="shared" si="433"/>
        <v>0</v>
      </c>
      <c r="AD1298" s="98">
        <f t="shared" ref="AD1298:AD1347" si="435">AC1298/K1298*100</f>
        <v>0</v>
      </c>
    </row>
    <row r="1299" spans="2:31" ht="14.25" customHeight="1">
      <c r="B1299" s="13">
        <f t="shared" si="432"/>
        <v>3</v>
      </c>
      <c r="C1299" s="81">
        <v>15.013</v>
      </c>
      <c r="D1299" s="21" t="s">
        <v>589</v>
      </c>
      <c r="E1299" s="486"/>
      <c r="F1299" s="486"/>
      <c r="G1299" s="473"/>
      <c r="H1299" s="578"/>
      <c r="I1299" s="473"/>
      <c r="J1299" s="15">
        <v>50000000</v>
      </c>
      <c r="K1299" s="15">
        <v>50000000</v>
      </c>
      <c r="L1299" s="414"/>
      <c r="M1299" s="22"/>
      <c r="N1299" s="49"/>
      <c r="O1299" s="18"/>
      <c r="P1299" s="410"/>
      <c r="Q1299" s="17"/>
      <c r="R1299" s="17"/>
      <c r="S1299" s="17"/>
      <c r="T1299" s="17"/>
      <c r="U1299" s="17"/>
      <c r="V1299" s="17"/>
      <c r="W1299" s="17"/>
      <c r="X1299" s="17"/>
      <c r="Y1299" s="20">
        <v>100</v>
      </c>
      <c r="Z1299" s="20">
        <v>100</v>
      </c>
      <c r="AA1299" s="659">
        <v>45783000</v>
      </c>
      <c r="AB1299" s="98">
        <f t="shared" si="434"/>
        <v>91.566000000000003</v>
      </c>
      <c r="AC1299" s="20">
        <f t="shared" si="433"/>
        <v>45783000</v>
      </c>
      <c r="AD1299" s="98">
        <f t="shared" si="435"/>
        <v>91.566000000000003</v>
      </c>
    </row>
    <row r="1300" spans="2:31">
      <c r="B1300" s="13">
        <f t="shared" si="432"/>
        <v>4</v>
      </c>
      <c r="C1300" s="174">
        <v>15.013999999999999</v>
      </c>
      <c r="D1300" s="21" t="s">
        <v>590</v>
      </c>
      <c r="E1300" s="486"/>
      <c r="F1300" s="486"/>
      <c r="G1300" s="473"/>
      <c r="H1300" s="578"/>
      <c r="I1300" s="473"/>
      <c r="J1300" s="15">
        <v>150000000</v>
      </c>
      <c r="K1300" s="15">
        <v>150000000</v>
      </c>
      <c r="L1300" s="414"/>
      <c r="M1300" s="22"/>
      <c r="N1300" s="49"/>
      <c r="O1300" s="18"/>
      <c r="P1300" s="410"/>
      <c r="Q1300" s="17"/>
      <c r="R1300" s="17"/>
      <c r="S1300" s="17"/>
      <c r="T1300" s="17"/>
      <c r="U1300" s="17"/>
      <c r="V1300" s="17"/>
      <c r="W1300" s="17"/>
      <c r="X1300" s="17"/>
      <c r="Y1300" s="20">
        <v>100</v>
      </c>
      <c r="Z1300" s="20">
        <v>100</v>
      </c>
      <c r="AA1300" s="659">
        <v>147682500</v>
      </c>
      <c r="AB1300" s="98">
        <f t="shared" si="434"/>
        <v>98.454999999999998</v>
      </c>
      <c r="AC1300" s="20">
        <f t="shared" si="433"/>
        <v>147682500</v>
      </c>
      <c r="AD1300" s="98">
        <f t="shared" si="435"/>
        <v>98.454999999999998</v>
      </c>
    </row>
    <row r="1301" spans="2:31" ht="38.25">
      <c r="B1301" s="13">
        <f t="shared" si="432"/>
        <v>5</v>
      </c>
      <c r="C1301" s="81">
        <v>15.015000000000001</v>
      </c>
      <c r="D1301" s="21" t="s">
        <v>591</v>
      </c>
      <c r="E1301" s="486"/>
      <c r="F1301" s="486"/>
      <c r="G1301" s="473"/>
      <c r="H1301" s="578"/>
      <c r="I1301" s="473"/>
      <c r="J1301" s="15">
        <v>250000000</v>
      </c>
      <c r="K1301" s="15">
        <v>0</v>
      </c>
      <c r="L1301" s="414"/>
      <c r="M1301" s="22"/>
      <c r="N1301" s="49"/>
      <c r="O1301" s="18"/>
      <c r="P1301" s="410"/>
      <c r="Q1301" s="17"/>
      <c r="R1301" s="17"/>
      <c r="S1301" s="17"/>
      <c r="T1301" s="17"/>
      <c r="U1301" s="17"/>
      <c r="V1301" s="17"/>
      <c r="W1301" s="17"/>
      <c r="X1301" s="17"/>
      <c r="Y1301" s="98">
        <f t="shared" ref="Y1301:Y1335" si="436">AB1301</f>
        <v>0</v>
      </c>
      <c r="Z1301" s="98">
        <f t="shared" ref="Z1301:Z1335" si="437">AD1301</f>
        <v>0</v>
      </c>
      <c r="AA1301" s="659">
        <v>0</v>
      </c>
      <c r="AB1301" s="98">
        <v>0</v>
      </c>
      <c r="AC1301" s="20">
        <f t="shared" si="433"/>
        <v>0</v>
      </c>
      <c r="AD1301" s="98">
        <v>0</v>
      </c>
    </row>
    <row r="1302" spans="2:31">
      <c r="B1302" s="13">
        <f t="shared" si="432"/>
        <v>6</v>
      </c>
      <c r="C1302" s="81"/>
      <c r="D1302" s="21" t="s">
        <v>2120</v>
      </c>
      <c r="E1302" s="486"/>
      <c r="F1302" s="486"/>
      <c r="G1302" s="473"/>
      <c r="H1302" s="578"/>
      <c r="I1302" s="473"/>
      <c r="J1302" s="15"/>
      <c r="K1302" s="15">
        <v>155800000</v>
      </c>
      <c r="L1302" s="414"/>
      <c r="M1302" s="22"/>
      <c r="N1302" s="49"/>
      <c r="O1302" s="18"/>
      <c r="P1302" s="410"/>
      <c r="Q1302" s="17"/>
      <c r="R1302" s="17"/>
      <c r="S1302" s="17"/>
      <c r="T1302" s="17"/>
      <c r="U1302" s="17"/>
      <c r="V1302" s="17"/>
      <c r="W1302" s="17"/>
      <c r="X1302" s="17"/>
      <c r="Y1302" s="20">
        <v>100</v>
      </c>
      <c r="Z1302" s="20">
        <v>100</v>
      </c>
      <c r="AA1302" s="648">
        <v>143830686</v>
      </c>
      <c r="AB1302" s="98">
        <f t="shared" si="434"/>
        <v>92.317513478818995</v>
      </c>
      <c r="AC1302" s="20">
        <f t="shared" si="433"/>
        <v>143830686</v>
      </c>
      <c r="AD1302" s="98">
        <f t="shared" si="435"/>
        <v>92.317513478818995</v>
      </c>
    </row>
    <row r="1303" spans="2:31" ht="27">
      <c r="B1303" s="153"/>
      <c r="C1303" s="86" t="s">
        <v>583</v>
      </c>
      <c r="D1303" s="86" t="s">
        <v>26</v>
      </c>
      <c r="E1303" s="488"/>
      <c r="F1303" s="488"/>
      <c r="G1303" s="475"/>
      <c r="H1303" s="585"/>
      <c r="I1303" s="475"/>
      <c r="J1303" s="130"/>
      <c r="K1303" s="130"/>
      <c r="L1303" s="415"/>
      <c r="M1303" s="22"/>
      <c r="N1303" s="415"/>
      <c r="O1303" s="410"/>
      <c r="P1303" s="18"/>
      <c r="Q1303" s="17"/>
      <c r="R1303" s="17"/>
      <c r="S1303" s="17"/>
      <c r="T1303" s="17"/>
      <c r="U1303" s="17"/>
      <c r="V1303" s="17"/>
      <c r="W1303" s="17"/>
      <c r="X1303" s="17"/>
      <c r="Y1303" s="98">
        <f t="shared" si="436"/>
        <v>0</v>
      </c>
      <c r="Z1303" s="98">
        <f t="shared" si="437"/>
        <v>0</v>
      </c>
      <c r="AA1303" s="648"/>
      <c r="AB1303" s="98"/>
      <c r="AC1303" s="20">
        <v>0</v>
      </c>
      <c r="AD1303" s="98"/>
    </row>
    <row r="1304" spans="2:31">
      <c r="B1304" s="13">
        <f>B1302+1</f>
        <v>7</v>
      </c>
      <c r="C1304" s="74" t="s">
        <v>203</v>
      </c>
      <c r="D1304" s="74" t="s">
        <v>28</v>
      </c>
      <c r="E1304" s="486"/>
      <c r="F1304" s="486"/>
      <c r="G1304" s="473"/>
      <c r="H1304" s="578"/>
      <c r="I1304" s="473"/>
      <c r="J1304" s="15">
        <v>316958000</v>
      </c>
      <c r="K1304" s="15">
        <v>453161000</v>
      </c>
      <c r="L1304" s="415"/>
      <c r="M1304" s="407"/>
      <c r="N1304" s="407"/>
      <c r="O1304" s="407"/>
      <c r="P1304" s="407"/>
      <c r="Q1304" s="407"/>
      <c r="R1304" s="407"/>
      <c r="S1304" s="407"/>
      <c r="T1304" s="407"/>
      <c r="U1304" s="407"/>
      <c r="V1304" s="407"/>
      <c r="W1304" s="407"/>
      <c r="X1304" s="407"/>
      <c r="Y1304" s="20">
        <v>100</v>
      </c>
      <c r="Z1304" s="20">
        <v>100</v>
      </c>
      <c r="AA1304" s="691">
        <v>371910487</v>
      </c>
      <c r="AB1304" s="98">
        <f t="shared" si="434"/>
        <v>82.070276789044073</v>
      </c>
      <c r="AC1304" s="22">
        <f>AA1304</f>
        <v>371910487</v>
      </c>
      <c r="AD1304" s="98">
        <f t="shared" si="435"/>
        <v>82.070276789044073</v>
      </c>
    </row>
    <row r="1305" spans="2:31">
      <c r="B1305" s="13">
        <f t="shared" si="432"/>
        <v>8</v>
      </c>
      <c r="C1305" s="74" t="s">
        <v>210</v>
      </c>
      <c r="D1305" s="74" t="s">
        <v>30</v>
      </c>
      <c r="E1305" s="486"/>
      <c r="F1305" s="486"/>
      <c r="G1305" s="473"/>
      <c r="H1305" s="578"/>
      <c r="I1305" s="473"/>
      <c r="J1305" s="15">
        <v>210410000</v>
      </c>
      <c r="K1305" s="15">
        <v>260000000</v>
      </c>
      <c r="L1305" s="407"/>
      <c r="M1305" s="407"/>
      <c r="N1305" s="407"/>
      <c r="O1305" s="407"/>
      <c r="P1305" s="407"/>
      <c r="Q1305" s="407"/>
      <c r="R1305" s="407"/>
      <c r="S1305" s="407"/>
      <c r="T1305" s="407"/>
      <c r="U1305" s="407"/>
      <c r="V1305" s="407"/>
      <c r="W1305" s="407"/>
      <c r="X1305" s="407"/>
      <c r="Y1305" s="20">
        <v>100</v>
      </c>
      <c r="Z1305" s="20">
        <v>100</v>
      </c>
      <c r="AA1305" s="691">
        <v>259809637</v>
      </c>
      <c r="AB1305" s="98">
        <f t="shared" si="434"/>
        <v>99.926783461538463</v>
      </c>
      <c r="AC1305" s="22">
        <f t="shared" ref="AC1305:AC1346" si="438">AA1305</f>
        <v>259809637</v>
      </c>
      <c r="AD1305" s="98">
        <f t="shared" si="435"/>
        <v>99.926783461538463</v>
      </c>
    </row>
    <row r="1306" spans="2:31">
      <c r="B1306" s="13">
        <f t="shared" si="432"/>
        <v>9</v>
      </c>
      <c r="C1306" s="74" t="s">
        <v>204</v>
      </c>
      <c r="D1306" s="74" t="s">
        <v>32</v>
      </c>
      <c r="E1306" s="486"/>
      <c r="F1306" s="486"/>
      <c r="G1306" s="473"/>
      <c r="H1306" s="578"/>
      <c r="I1306" s="473"/>
      <c r="J1306" s="15">
        <v>310727000</v>
      </c>
      <c r="K1306" s="15">
        <v>330722000</v>
      </c>
      <c r="L1306" s="415"/>
      <c r="M1306" s="407"/>
      <c r="N1306" s="407"/>
      <c r="O1306" s="407"/>
      <c r="P1306" s="407"/>
      <c r="Q1306" s="407"/>
      <c r="R1306" s="407"/>
      <c r="S1306" s="407"/>
      <c r="T1306" s="407"/>
      <c r="U1306" s="407"/>
      <c r="V1306" s="407"/>
      <c r="W1306" s="407"/>
      <c r="X1306" s="407"/>
      <c r="Y1306" s="20">
        <v>100</v>
      </c>
      <c r="Z1306" s="20">
        <v>100</v>
      </c>
      <c r="AA1306" s="691">
        <v>261094925</v>
      </c>
      <c r="AB1306" s="98">
        <f t="shared" si="434"/>
        <v>78.946947889768452</v>
      </c>
      <c r="AC1306" s="22">
        <f t="shared" si="438"/>
        <v>261094925</v>
      </c>
      <c r="AD1306" s="98">
        <f t="shared" si="435"/>
        <v>78.946947889768452</v>
      </c>
    </row>
    <row r="1307" spans="2:31">
      <c r="B1307" s="13">
        <f t="shared" si="432"/>
        <v>10</v>
      </c>
      <c r="C1307" s="74" t="s">
        <v>205</v>
      </c>
      <c r="D1307" s="74" t="s">
        <v>34</v>
      </c>
      <c r="E1307" s="486"/>
      <c r="F1307" s="486"/>
      <c r="G1307" s="473"/>
      <c r="H1307" s="578"/>
      <c r="I1307" s="473"/>
      <c r="J1307" s="15">
        <v>177350000</v>
      </c>
      <c r="K1307" s="15">
        <v>423544000</v>
      </c>
      <c r="L1307" s="416"/>
      <c r="M1307" s="417"/>
      <c r="N1307" s="400"/>
      <c r="O1307" s="407"/>
      <c r="P1307" s="407"/>
      <c r="Q1307" s="407"/>
      <c r="R1307" s="407"/>
      <c r="S1307" s="407"/>
      <c r="T1307" s="407"/>
      <c r="U1307" s="407"/>
      <c r="V1307" s="407"/>
      <c r="W1307" s="407"/>
      <c r="X1307" s="407"/>
      <c r="Y1307" s="20">
        <v>100</v>
      </c>
      <c r="Z1307" s="20">
        <v>100</v>
      </c>
      <c r="AA1307" s="691">
        <v>407912500</v>
      </c>
      <c r="AB1307" s="98">
        <f t="shared" si="434"/>
        <v>96.309356288838941</v>
      </c>
      <c r="AC1307" s="22">
        <f t="shared" si="438"/>
        <v>407912500</v>
      </c>
      <c r="AD1307" s="98">
        <f t="shared" si="435"/>
        <v>96.309356288838941</v>
      </c>
    </row>
    <row r="1308" spans="2:31">
      <c r="B1308" s="13">
        <f t="shared" si="432"/>
        <v>11</v>
      </c>
      <c r="C1308" s="74" t="s">
        <v>215</v>
      </c>
      <c r="D1308" s="74" t="s">
        <v>36</v>
      </c>
      <c r="E1308" s="486"/>
      <c r="F1308" s="486"/>
      <c r="G1308" s="473"/>
      <c r="H1308" s="578"/>
      <c r="I1308" s="473"/>
      <c r="J1308" s="15">
        <v>20000000</v>
      </c>
      <c r="K1308" s="15">
        <v>60000000</v>
      </c>
      <c r="L1308" s="407"/>
      <c r="M1308" s="407"/>
      <c r="N1308" s="407"/>
      <c r="O1308" s="407"/>
      <c r="P1308" s="407"/>
      <c r="Q1308" s="407"/>
      <c r="R1308" s="407"/>
      <c r="S1308" s="407"/>
      <c r="T1308" s="407"/>
      <c r="U1308" s="407"/>
      <c r="V1308" s="407"/>
      <c r="W1308" s="407"/>
      <c r="X1308" s="407"/>
      <c r="Y1308" s="20">
        <v>100</v>
      </c>
      <c r="Z1308" s="20">
        <v>100</v>
      </c>
      <c r="AA1308" s="691">
        <v>59425000</v>
      </c>
      <c r="AB1308" s="98">
        <f t="shared" si="434"/>
        <v>99.041666666666657</v>
      </c>
      <c r="AC1308" s="22">
        <f t="shared" si="438"/>
        <v>59425000</v>
      </c>
      <c r="AD1308" s="98">
        <f t="shared" si="435"/>
        <v>99.041666666666657</v>
      </c>
    </row>
    <row r="1309" spans="2:31" ht="25.5">
      <c r="B1309" s="13">
        <f t="shared" si="432"/>
        <v>12</v>
      </c>
      <c r="C1309" s="123" t="s">
        <v>216</v>
      </c>
      <c r="D1309" s="21" t="s">
        <v>38</v>
      </c>
      <c r="E1309" s="486"/>
      <c r="F1309" s="486"/>
      <c r="G1309" s="473"/>
      <c r="H1309" s="578"/>
      <c r="I1309" s="473"/>
      <c r="J1309" s="15">
        <v>18850000</v>
      </c>
      <c r="K1309" s="15">
        <v>18850000</v>
      </c>
      <c r="L1309" s="407"/>
      <c r="M1309" s="407"/>
      <c r="N1309" s="407"/>
      <c r="O1309" s="407"/>
      <c r="P1309" s="407"/>
      <c r="Q1309" s="407"/>
      <c r="R1309" s="407"/>
      <c r="S1309" s="407"/>
      <c r="T1309" s="407"/>
      <c r="U1309" s="407"/>
      <c r="V1309" s="407"/>
      <c r="W1309" s="407"/>
      <c r="X1309" s="407"/>
      <c r="Y1309" s="20">
        <v>100</v>
      </c>
      <c r="Z1309" s="20">
        <v>100</v>
      </c>
      <c r="AA1309" s="691">
        <v>15394000</v>
      </c>
      <c r="AB1309" s="98">
        <f t="shared" si="434"/>
        <v>81.665782493368695</v>
      </c>
      <c r="AC1309" s="22">
        <f t="shared" si="438"/>
        <v>15394000</v>
      </c>
      <c r="AD1309" s="98">
        <f t="shared" si="435"/>
        <v>81.665782493368695</v>
      </c>
    </row>
    <row r="1310" spans="2:31">
      <c r="B1310" s="13">
        <f t="shared" si="432"/>
        <v>13</v>
      </c>
      <c r="C1310" s="123" t="s">
        <v>592</v>
      </c>
      <c r="D1310" s="21" t="s">
        <v>593</v>
      </c>
      <c r="E1310" s="486"/>
      <c r="F1310" s="486"/>
      <c r="G1310" s="473"/>
      <c r="H1310" s="578"/>
      <c r="I1310" s="473"/>
      <c r="J1310" s="15">
        <v>20000000</v>
      </c>
      <c r="K1310" s="15">
        <v>20000000</v>
      </c>
      <c r="L1310" s="418"/>
      <c r="M1310" s="22"/>
      <c r="N1310" s="49"/>
      <c r="O1310" s="410"/>
      <c r="P1310" s="412"/>
      <c r="Q1310" s="13"/>
      <c r="R1310" s="13"/>
      <c r="S1310" s="13"/>
      <c r="T1310" s="13"/>
      <c r="U1310" s="13"/>
      <c r="V1310" s="13"/>
      <c r="W1310" s="13"/>
      <c r="X1310" s="13"/>
      <c r="Y1310" s="20">
        <v>100</v>
      </c>
      <c r="Z1310" s="20">
        <v>100</v>
      </c>
      <c r="AA1310" s="691">
        <v>17970000</v>
      </c>
      <c r="AB1310" s="98">
        <f t="shared" si="434"/>
        <v>89.85</v>
      </c>
      <c r="AC1310" s="22">
        <f t="shared" si="438"/>
        <v>17970000</v>
      </c>
      <c r="AD1310" s="98">
        <f t="shared" si="435"/>
        <v>89.85</v>
      </c>
    </row>
    <row r="1311" spans="2:31">
      <c r="B1311" s="13">
        <f t="shared" si="432"/>
        <v>14</v>
      </c>
      <c r="C1311" s="177" t="s">
        <v>594</v>
      </c>
      <c r="D1311" s="21" t="s">
        <v>595</v>
      </c>
      <c r="E1311" s="486"/>
      <c r="F1311" s="486"/>
      <c r="G1311" s="473"/>
      <c r="H1311" s="578"/>
      <c r="I1311" s="473"/>
      <c r="J1311" s="15">
        <v>40000000</v>
      </c>
      <c r="K1311" s="15">
        <v>40000000</v>
      </c>
      <c r="L1311" s="418"/>
      <c r="M1311" s="22"/>
      <c r="N1311" s="49"/>
      <c r="O1311" s="410"/>
      <c r="P1311" s="412"/>
      <c r="Q1311" s="13"/>
      <c r="R1311" s="13"/>
      <c r="S1311" s="13"/>
      <c r="T1311" s="13"/>
      <c r="U1311" s="13"/>
      <c r="V1311" s="13"/>
      <c r="W1311" s="13"/>
      <c r="X1311" s="13"/>
      <c r="Y1311" s="20">
        <v>100</v>
      </c>
      <c r="Z1311" s="20">
        <v>100</v>
      </c>
      <c r="AA1311" s="691">
        <v>34453500</v>
      </c>
      <c r="AB1311" s="98">
        <f t="shared" si="434"/>
        <v>86.133749999999992</v>
      </c>
      <c r="AC1311" s="22">
        <f>AA1311</f>
        <v>34453500</v>
      </c>
      <c r="AD1311" s="98">
        <f t="shared" si="435"/>
        <v>86.133749999999992</v>
      </c>
    </row>
    <row r="1312" spans="2:31" ht="15.75">
      <c r="B1312" s="13"/>
      <c r="C1312" s="86" t="s">
        <v>596</v>
      </c>
      <c r="D1312" s="86" t="s">
        <v>597</v>
      </c>
      <c r="E1312" s="485"/>
      <c r="F1312" s="485"/>
      <c r="G1312" s="441"/>
      <c r="H1312" s="87"/>
      <c r="I1312" s="441"/>
      <c r="J1312" s="130"/>
      <c r="K1312" s="130"/>
      <c r="L1312" s="419"/>
      <c r="M1312" s="25"/>
      <c r="N1312" s="49"/>
      <c r="O1312" s="410"/>
      <c r="P1312" s="401"/>
      <c r="Q1312" s="13"/>
      <c r="R1312" s="13"/>
      <c r="S1312" s="13"/>
      <c r="T1312" s="13"/>
      <c r="U1312" s="13"/>
      <c r="V1312" s="13"/>
      <c r="W1312" s="13"/>
      <c r="X1312" s="13"/>
      <c r="Y1312" s="98">
        <f t="shared" si="436"/>
        <v>0</v>
      </c>
      <c r="Z1312" s="98">
        <f t="shared" si="437"/>
        <v>0</v>
      </c>
      <c r="AA1312" s="692"/>
      <c r="AB1312" s="98"/>
      <c r="AC1312" s="22"/>
      <c r="AD1312" s="98"/>
    </row>
    <row r="1313" spans="2:30" ht="27">
      <c r="B1313" s="13">
        <f>B1311+1</f>
        <v>15</v>
      </c>
      <c r="C1313" s="74" t="s">
        <v>219</v>
      </c>
      <c r="D1313" s="74" t="s">
        <v>598</v>
      </c>
      <c r="E1313" s="204"/>
      <c r="F1313" s="204"/>
      <c r="G1313" s="193"/>
      <c r="H1313" s="89"/>
      <c r="I1313" s="193"/>
      <c r="J1313" s="15">
        <v>70000000</v>
      </c>
      <c r="K1313" s="25">
        <v>51319000</v>
      </c>
      <c r="L1313" s="419"/>
      <c r="M1313" s="25"/>
      <c r="N1313" s="49"/>
      <c r="O1313" s="401"/>
      <c r="P1313" s="401"/>
      <c r="Q1313" s="13"/>
      <c r="R1313" s="13"/>
      <c r="S1313" s="13"/>
      <c r="T1313" s="13"/>
      <c r="U1313" s="13"/>
      <c r="V1313" s="13"/>
      <c r="W1313" s="13"/>
      <c r="X1313" s="13"/>
      <c r="Y1313" s="20">
        <v>100</v>
      </c>
      <c r="Z1313" s="98">
        <v>100</v>
      </c>
      <c r="AA1313" s="691">
        <v>49675500</v>
      </c>
      <c r="AB1313" s="98">
        <f t="shared" si="434"/>
        <v>96.797482413920761</v>
      </c>
      <c r="AC1313" s="22">
        <f t="shared" si="438"/>
        <v>49675500</v>
      </c>
      <c r="AD1313" s="98">
        <f t="shared" si="435"/>
        <v>96.797482413920761</v>
      </c>
    </row>
    <row r="1314" spans="2:30">
      <c r="B1314" s="13">
        <f>B1313+1</f>
        <v>16</v>
      </c>
      <c r="C1314" s="74" t="s">
        <v>221</v>
      </c>
      <c r="D1314" s="74" t="s">
        <v>599</v>
      </c>
      <c r="E1314" s="204"/>
      <c r="F1314" s="204"/>
      <c r="G1314" s="193"/>
      <c r="H1314" s="89"/>
      <c r="I1314" s="193"/>
      <c r="J1314" s="15">
        <v>75000000</v>
      </c>
      <c r="K1314" s="15">
        <v>75000000</v>
      </c>
      <c r="L1314" s="419"/>
      <c r="M1314" s="25"/>
      <c r="N1314" s="49"/>
      <c r="O1314" s="401"/>
      <c r="P1314" s="401"/>
      <c r="Q1314" s="13"/>
      <c r="R1314" s="13"/>
      <c r="S1314" s="13"/>
      <c r="T1314" s="13"/>
      <c r="U1314" s="13"/>
      <c r="V1314" s="13"/>
      <c r="W1314" s="13"/>
      <c r="X1314" s="13"/>
      <c r="Y1314" s="20">
        <v>100</v>
      </c>
      <c r="Z1314" s="20">
        <v>100</v>
      </c>
      <c r="AA1314" s="691">
        <v>68722800</v>
      </c>
      <c r="AB1314" s="98">
        <f t="shared" si="434"/>
        <v>91.630399999999995</v>
      </c>
      <c r="AC1314" s="22">
        <f t="shared" si="438"/>
        <v>68722800</v>
      </c>
      <c r="AD1314" s="98">
        <f t="shared" si="435"/>
        <v>91.630399999999995</v>
      </c>
    </row>
    <row r="1315" spans="2:30">
      <c r="B1315" s="13">
        <f t="shared" ref="B1315:B1369" si="439">B1314+1</f>
        <v>17</v>
      </c>
      <c r="C1315" s="74" t="s">
        <v>600</v>
      </c>
      <c r="D1315" s="74" t="s">
        <v>601</v>
      </c>
      <c r="E1315" s="204"/>
      <c r="F1315" s="204"/>
      <c r="G1315" s="193"/>
      <c r="H1315" s="89"/>
      <c r="I1315" s="193"/>
      <c r="J1315" s="15">
        <v>136000000</v>
      </c>
      <c r="K1315" s="15">
        <v>139290000</v>
      </c>
      <c r="L1315" s="419"/>
      <c r="M1315" s="25"/>
      <c r="N1315" s="49"/>
      <c r="O1315" s="401"/>
      <c r="P1315" s="401"/>
      <c r="Q1315" s="13"/>
      <c r="R1315" s="13"/>
      <c r="S1315" s="13"/>
      <c r="T1315" s="13"/>
      <c r="U1315" s="13"/>
      <c r="V1315" s="13"/>
      <c r="W1315" s="13"/>
      <c r="X1315" s="13"/>
      <c r="Y1315" s="20">
        <v>100</v>
      </c>
      <c r="Z1315" s="98">
        <v>100</v>
      </c>
      <c r="AA1315" s="691">
        <v>127697675</v>
      </c>
      <c r="AB1315" s="98">
        <f t="shared" si="434"/>
        <v>91.677561203245034</v>
      </c>
      <c r="AC1315" s="22">
        <f t="shared" si="438"/>
        <v>127697675</v>
      </c>
      <c r="AD1315" s="98">
        <f t="shared" si="435"/>
        <v>91.677561203245034</v>
      </c>
    </row>
    <row r="1316" spans="2:30" ht="27">
      <c r="B1316" s="13">
        <f t="shared" si="439"/>
        <v>18</v>
      </c>
      <c r="C1316" s="74" t="s">
        <v>564</v>
      </c>
      <c r="D1316" s="74" t="s">
        <v>2228</v>
      </c>
      <c r="E1316" s="204"/>
      <c r="F1316" s="204"/>
      <c r="G1316" s="193"/>
      <c r="H1316" s="89"/>
      <c r="I1316" s="193"/>
      <c r="J1316" s="15">
        <v>243500000</v>
      </c>
      <c r="K1316" s="25">
        <v>153500000</v>
      </c>
      <c r="L1316" s="419"/>
      <c r="M1316" s="25">
        <v>45000000</v>
      </c>
      <c r="N1316" s="49"/>
      <c r="O1316" s="401"/>
      <c r="P1316" s="401"/>
      <c r="Q1316" s="13"/>
      <c r="R1316" s="13"/>
      <c r="S1316" s="13"/>
      <c r="T1316" s="13"/>
      <c r="U1316" s="13"/>
      <c r="V1316" s="13"/>
      <c r="W1316" s="13"/>
      <c r="X1316" s="13"/>
      <c r="Y1316" s="20">
        <v>100</v>
      </c>
      <c r="Z1316" s="20">
        <v>100</v>
      </c>
      <c r="AA1316" s="691">
        <v>119589874</v>
      </c>
      <c r="AB1316" s="98">
        <f t="shared" si="434"/>
        <v>77.908712703583063</v>
      </c>
      <c r="AC1316" s="22">
        <f t="shared" si="438"/>
        <v>119589874</v>
      </c>
      <c r="AD1316" s="98">
        <f t="shared" si="435"/>
        <v>77.908712703583063</v>
      </c>
    </row>
    <row r="1317" spans="2:30" ht="40.5">
      <c r="B1317" s="13">
        <f t="shared" si="439"/>
        <v>19</v>
      </c>
      <c r="C1317" s="74" t="s">
        <v>602</v>
      </c>
      <c r="D1317" s="74" t="s">
        <v>603</v>
      </c>
      <c r="E1317" s="486"/>
      <c r="F1317" s="486"/>
      <c r="G1317" s="473"/>
      <c r="H1317" s="578"/>
      <c r="I1317" s="473"/>
      <c r="J1317" s="15">
        <v>25000000</v>
      </c>
      <c r="K1317" s="15">
        <v>25000000</v>
      </c>
      <c r="L1317" s="407"/>
      <c r="M1317" s="407"/>
      <c r="N1317" s="407"/>
      <c r="O1317" s="407"/>
      <c r="P1317" s="407"/>
      <c r="Q1317" s="407"/>
      <c r="R1317" s="407"/>
      <c r="S1317" s="407"/>
      <c r="T1317" s="407"/>
      <c r="U1317" s="407"/>
      <c r="V1317" s="407"/>
      <c r="W1317" s="407"/>
      <c r="X1317" s="407"/>
      <c r="Y1317" s="20">
        <v>100</v>
      </c>
      <c r="Z1317" s="20">
        <v>100</v>
      </c>
      <c r="AA1317" s="692">
        <v>18135850</v>
      </c>
      <c r="AB1317" s="98">
        <f t="shared" si="434"/>
        <v>72.543400000000005</v>
      </c>
      <c r="AC1317" s="22">
        <f t="shared" si="438"/>
        <v>18135850</v>
      </c>
      <c r="AD1317" s="98">
        <f t="shared" si="435"/>
        <v>72.543400000000005</v>
      </c>
    </row>
    <row r="1318" spans="2:30">
      <c r="B1318" s="13">
        <f t="shared" si="439"/>
        <v>20</v>
      </c>
      <c r="C1318" s="74" t="s">
        <v>604</v>
      </c>
      <c r="D1318" s="74" t="s">
        <v>605</v>
      </c>
      <c r="E1318" s="486"/>
      <c r="F1318" s="486"/>
      <c r="G1318" s="473"/>
      <c r="H1318" s="578"/>
      <c r="I1318" s="473"/>
      <c r="J1318" s="15">
        <v>65000000</v>
      </c>
      <c r="K1318" s="15">
        <v>65000000</v>
      </c>
      <c r="L1318" s="407"/>
      <c r="M1318" s="407"/>
      <c r="N1318" s="407"/>
      <c r="O1318" s="407"/>
      <c r="P1318" s="407"/>
      <c r="Q1318" s="407"/>
      <c r="R1318" s="407"/>
      <c r="S1318" s="407"/>
      <c r="T1318" s="407"/>
      <c r="U1318" s="407"/>
      <c r="V1318" s="407"/>
      <c r="W1318" s="407"/>
      <c r="X1318" s="407"/>
      <c r="Y1318" s="20">
        <v>100</v>
      </c>
      <c r="Z1318" s="98">
        <v>100</v>
      </c>
      <c r="AA1318" s="691">
        <v>58484860</v>
      </c>
      <c r="AB1318" s="98">
        <f t="shared" si="434"/>
        <v>89.976707692307684</v>
      </c>
      <c r="AC1318" s="22">
        <f t="shared" si="438"/>
        <v>58484860</v>
      </c>
      <c r="AD1318" s="98">
        <f t="shared" si="435"/>
        <v>89.976707692307684</v>
      </c>
    </row>
    <row r="1319" spans="2:30">
      <c r="B1319" s="13">
        <f t="shared" si="439"/>
        <v>21</v>
      </c>
      <c r="C1319" s="81">
        <v>15.013</v>
      </c>
      <c r="D1319" s="21" t="s">
        <v>606</v>
      </c>
      <c r="E1319" s="486"/>
      <c r="F1319" s="486"/>
      <c r="G1319" s="473"/>
      <c r="H1319" s="578"/>
      <c r="I1319" s="473"/>
      <c r="J1319" s="15">
        <v>89150000</v>
      </c>
      <c r="K1319" s="25">
        <v>0</v>
      </c>
      <c r="L1319" s="49"/>
      <c r="M1319" s="417"/>
      <c r="N1319" s="400"/>
      <c r="O1319" s="407"/>
      <c r="P1319" s="407"/>
      <c r="Q1319" s="407"/>
      <c r="R1319" s="407"/>
      <c r="S1319" s="407"/>
      <c r="T1319" s="407"/>
      <c r="U1319" s="827"/>
      <c r="V1319" s="407"/>
      <c r="W1319" s="407"/>
      <c r="X1319" s="407"/>
      <c r="Y1319" s="20">
        <f t="shared" si="436"/>
        <v>0</v>
      </c>
      <c r="Z1319" s="98">
        <f t="shared" si="437"/>
        <v>0</v>
      </c>
      <c r="AA1319" s="691">
        <v>0</v>
      </c>
      <c r="AB1319" s="98"/>
      <c r="AC1319" s="22">
        <f t="shared" si="438"/>
        <v>0</v>
      </c>
      <c r="AD1319" s="98"/>
    </row>
    <row r="1320" spans="2:30">
      <c r="B1320" s="13">
        <f t="shared" si="439"/>
        <v>22</v>
      </c>
      <c r="C1320" s="81">
        <v>15.013999999999999</v>
      </c>
      <c r="D1320" s="21" t="s">
        <v>607</v>
      </c>
      <c r="E1320" s="486"/>
      <c r="F1320" s="486"/>
      <c r="G1320" s="473"/>
      <c r="H1320" s="578"/>
      <c r="I1320" s="473"/>
      <c r="J1320" s="15">
        <v>79991000</v>
      </c>
      <c r="K1320" s="15">
        <v>79991000</v>
      </c>
      <c r="L1320" s="49"/>
      <c r="M1320" s="22"/>
      <c r="N1320" s="49"/>
      <c r="O1320" s="18"/>
      <c r="P1320" s="18"/>
      <c r="Q1320" s="407"/>
      <c r="R1320" s="407"/>
      <c r="S1320" s="407"/>
      <c r="T1320" s="407"/>
      <c r="U1320" s="407"/>
      <c r="V1320" s="407"/>
      <c r="W1320" s="407"/>
      <c r="X1320" s="407"/>
      <c r="Y1320" s="20">
        <v>100</v>
      </c>
      <c r="Z1320" s="98">
        <v>100</v>
      </c>
      <c r="AA1320" s="691">
        <v>67748818</v>
      </c>
      <c r="AB1320" s="98">
        <f t="shared" si="434"/>
        <v>84.695550749459315</v>
      </c>
      <c r="AC1320" s="22">
        <f t="shared" si="438"/>
        <v>67748818</v>
      </c>
      <c r="AD1320" s="98">
        <f t="shared" si="435"/>
        <v>84.695550749459315</v>
      </c>
    </row>
    <row r="1321" spans="2:30">
      <c r="B1321" s="13">
        <f t="shared" si="439"/>
        <v>23</v>
      </c>
      <c r="C1321" s="174">
        <v>15.015000000000001</v>
      </c>
      <c r="D1321" s="21" t="s">
        <v>608</v>
      </c>
      <c r="E1321" s="486"/>
      <c r="F1321" s="486"/>
      <c r="G1321" s="473"/>
      <c r="H1321" s="578"/>
      <c r="I1321" s="473"/>
      <c r="J1321" s="15">
        <v>69754000</v>
      </c>
      <c r="K1321" s="15">
        <v>69754000</v>
      </c>
      <c r="L1321" s="49"/>
      <c r="M1321" s="22"/>
      <c r="N1321" s="49"/>
      <c r="O1321" s="18"/>
      <c r="P1321" s="18"/>
      <c r="Q1321" s="407"/>
      <c r="R1321" s="407"/>
      <c r="S1321" s="407"/>
      <c r="T1321" s="407"/>
      <c r="U1321" s="407"/>
      <c r="V1321" s="407"/>
      <c r="W1321" s="407"/>
      <c r="X1321" s="407"/>
      <c r="Y1321" s="20">
        <v>100</v>
      </c>
      <c r="Z1321" s="20">
        <v>100</v>
      </c>
      <c r="AA1321" s="691">
        <v>65800950</v>
      </c>
      <c r="AB1321" s="98">
        <f t="shared" si="434"/>
        <v>94.332869799581388</v>
      </c>
      <c r="AC1321" s="22">
        <f t="shared" si="438"/>
        <v>65800950</v>
      </c>
      <c r="AD1321" s="98">
        <f t="shared" si="435"/>
        <v>94.332869799581388</v>
      </c>
    </row>
    <row r="1322" spans="2:30" ht="25.5">
      <c r="B1322" s="13">
        <f t="shared" si="439"/>
        <v>24</v>
      </c>
      <c r="C1322" s="81">
        <v>15.016</v>
      </c>
      <c r="D1322" s="21" t="s">
        <v>609</v>
      </c>
      <c r="E1322" s="486"/>
      <c r="F1322" s="486"/>
      <c r="G1322" s="473"/>
      <c r="H1322" s="578"/>
      <c r="I1322" s="473"/>
      <c r="J1322" s="15">
        <v>150000000</v>
      </c>
      <c r="K1322" s="25">
        <v>60256000</v>
      </c>
      <c r="L1322" s="49"/>
      <c r="M1322" s="22"/>
      <c r="N1322" s="49"/>
      <c r="O1322" s="18"/>
      <c r="P1322" s="18"/>
      <c r="Q1322" s="407"/>
      <c r="R1322" s="407"/>
      <c r="S1322" s="407"/>
      <c r="T1322" s="407"/>
      <c r="U1322" s="407"/>
      <c r="V1322" s="407"/>
      <c r="W1322" s="407"/>
      <c r="X1322" s="407"/>
      <c r="Y1322" s="20">
        <v>100</v>
      </c>
      <c r="Z1322" s="20">
        <v>100</v>
      </c>
      <c r="AA1322" s="691">
        <v>22536278</v>
      </c>
      <c r="AB1322" s="98">
        <f t="shared" si="434"/>
        <v>37.400886218799791</v>
      </c>
      <c r="AC1322" s="22">
        <f>AA1322</f>
        <v>22536278</v>
      </c>
      <c r="AD1322" s="98">
        <f t="shared" si="435"/>
        <v>37.400886218799791</v>
      </c>
    </row>
    <row r="1323" spans="2:30" ht="25.5">
      <c r="B1323" s="13">
        <f t="shared" si="439"/>
        <v>25</v>
      </c>
      <c r="C1323" s="81"/>
      <c r="D1323" s="21" t="s">
        <v>2121</v>
      </c>
      <c r="E1323" s="486"/>
      <c r="F1323" s="486"/>
      <c r="G1323" s="473"/>
      <c r="H1323" s="578"/>
      <c r="I1323" s="473"/>
      <c r="J1323" s="15"/>
      <c r="K1323" s="25">
        <v>51000000</v>
      </c>
      <c r="L1323" s="49"/>
      <c r="M1323" s="22"/>
      <c r="N1323" s="49"/>
      <c r="O1323" s="18"/>
      <c r="P1323" s="18"/>
      <c r="Q1323" s="407"/>
      <c r="R1323" s="407"/>
      <c r="S1323" s="407"/>
      <c r="T1323" s="407"/>
      <c r="U1323" s="407"/>
      <c r="V1323" s="407"/>
      <c r="W1323" s="407"/>
      <c r="X1323" s="407"/>
      <c r="Y1323" s="20">
        <v>100</v>
      </c>
      <c r="Z1323" s="20">
        <v>100</v>
      </c>
      <c r="AA1323" s="691">
        <v>50915425</v>
      </c>
      <c r="AB1323" s="98">
        <f t="shared" si="434"/>
        <v>99.834166666666675</v>
      </c>
      <c r="AC1323" s="22">
        <f>AA1323</f>
        <v>50915425</v>
      </c>
      <c r="AD1323" s="98">
        <f t="shared" si="435"/>
        <v>99.834166666666675</v>
      </c>
    </row>
    <row r="1324" spans="2:30" ht="27">
      <c r="B1324" s="13"/>
      <c r="C1324" s="86" t="s">
        <v>610</v>
      </c>
      <c r="D1324" s="86" t="s">
        <v>611</v>
      </c>
      <c r="E1324" s="488"/>
      <c r="F1324" s="488"/>
      <c r="G1324" s="475"/>
      <c r="H1324" s="585"/>
      <c r="I1324" s="475"/>
      <c r="J1324" s="130"/>
      <c r="K1324" s="130"/>
      <c r="L1324" s="407"/>
      <c r="M1324" s="407"/>
      <c r="N1324" s="407"/>
      <c r="O1324" s="407"/>
      <c r="P1324" s="407"/>
      <c r="Q1324" s="407"/>
      <c r="R1324" s="407"/>
      <c r="S1324" s="407"/>
      <c r="T1324" s="407"/>
      <c r="U1324" s="407"/>
      <c r="V1324" s="407"/>
      <c r="W1324" s="407"/>
      <c r="X1324" s="407"/>
      <c r="Y1324" s="98"/>
      <c r="Z1324" s="98"/>
      <c r="AA1324" s="692"/>
      <c r="AB1324" s="98"/>
      <c r="AC1324" s="22"/>
      <c r="AD1324" s="98"/>
    </row>
    <row r="1325" spans="2:30" ht="27">
      <c r="B1325" s="13">
        <f>B1323+1</f>
        <v>26</v>
      </c>
      <c r="C1325" s="74" t="s">
        <v>375</v>
      </c>
      <c r="D1325" s="74" t="s">
        <v>612</v>
      </c>
      <c r="E1325" s="486"/>
      <c r="F1325" s="486"/>
      <c r="G1325" s="473"/>
      <c r="H1325" s="578"/>
      <c r="I1325" s="473"/>
      <c r="J1325" s="15">
        <v>138100000</v>
      </c>
      <c r="K1325" s="15">
        <v>138100000</v>
      </c>
      <c r="L1325" s="407"/>
      <c r="M1325" s="407"/>
      <c r="N1325" s="407"/>
      <c r="O1325" s="407"/>
      <c r="P1325" s="407"/>
      <c r="Q1325" s="407"/>
      <c r="R1325" s="407"/>
      <c r="S1325" s="407"/>
      <c r="T1325" s="407"/>
      <c r="U1325" s="407"/>
      <c r="V1325" s="407"/>
      <c r="W1325" s="407"/>
      <c r="X1325" s="407"/>
      <c r="Y1325" s="20">
        <v>100</v>
      </c>
      <c r="Z1325" s="20">
        <v>100</v>
      </c>
      <c r="AA1325" s="692">
        <v>120308250</v>
      </c>
      <c r="AB1325" s="98">
        <f t="shared" si="434"/>
        <v>87.116763215061553</v>
      </c>
      <c r="AC1325" s="22">
        <f t="shared" si="438"/>
        <v>120308250</v>
      </c>
      <c r="AD1325" s="98">
        <f t="shared" si="435"/>
        <v>87.116763215061553</v>
      </c>
    </row>
    <row r="1326" spans="2:30">
      <c r="B1326" s="13">
        <f t="shared" si="439"/>
        <v>27</v>
      </c>
      <c r="C1326" s="74" t="s">
        <v>377</v>
      </c>
      <c r="D1326" s="74" t="s">
        <v>613</v>
      </c>
      <c r="E1326" s="486"/>
      <c r="F1326" s="486"/>
      <c r="G1326" s="473"/>
      <c r="H1326" s="578"/>
      <c r="I1326" s="473"/>
      <c r="J1326" s="15">
        <v>99984000</v>
      </c>
      <c r="K1326" s="15">
        <v>99984000</v>
      </c>
      <c r="L1326" s="407"/>
      <c r="M1326" s="407"/>
      <c r="N1326" s="407"/>
      <c r="O1326" s="407"/>
      <c r="P1326" s="407"/>
      <c r="Q1326" s="407"/>
      <c r="R1326" s="407"/>
      <c r="S1326" s="407"/>
      <c r="T1326" s="407"/>
      <c r="U1326" s="407"/>
      <c r="V1326" s="407"/>
      <c r="W1326" s="407"/>
      <c r="X1326" s="407"/>
      <c r="Y1326" s="20">
        <v>100</v>
      </c>
      <c r="Z1326" s="20">
        <v>100</v>
      </c>
      <c r="AA1326" s="691">
        <v>78855228</v>
      </c>
      <c r="AB1326" s="98">
        <f t="shared" si="434"/>
        <v>78.867846855496879</v>
      </c>
      <c r="AC1326" s="22">
        <f t="shared" si="438"/>
        <v>78855228</v>
      </c>
      <c r="AD1326" s="98">
        <f t="shared" si="435"/>
        <v>78.867846855496879</v>
      </c>
    </row>
    <row r="1327" spans="2:30">
      <c r="B1327" s="13">
        <f t="shared" si="439"/>
        <v>28</v>
      </c>
      <c r="C1327" s="74" t="s">
        <v>614</v>
      </c>
      <c r="D1327" s="74" t="s">
        <v>615</v>
      </c>
      <c r="E1327" s="486"/>
      <c r="F1327" s="486"/>
      <c r="G1327" s="473"/>
      <c r="H1327" s="578"/>
      <c r="I1327" s="473"/>
      <c r="J1327" s="15">
        <v>79000000</v>
      </c>
      <c r="K1327" s="15">
        <v>79000000</v>
      </c>
      <c r="L1327" s="407"/>
      <c r="M1327" s="407"/>
      <c r="N1327" s="407"/>
      <c r="O1327" s="407"/>
      <c r="P1327" s="407"/>
      <c r="Q1327" s="407"/>
      <c r="R1327" s="407"/>
      <c r="S1327" s="407"/>
      <c r="T1327" s="407"/>
      <c r="U1327" s="407"/>
      <c r="V1327" s="407"/>
      <c r="W1327" s="407"/>
      <c r="X1327" s="407"/>
      <c r="Y1327" s="20">
        <v>100</v>
      </c>
      <c r="Z1327" s="20">
        <v>85</v>
      </c>
      <c r="AA1327" s="691">
        <v>21686250</v>
      </c>
      <c r="AB1327" s="98">
        <f t="shared" si="434"/>
        <v>27.450949367088604</v>
      </c>
      <c r="AC1327" s="22">
        <f t="shared" si="438"/>
        <v>21686250</v>
      </c>
      <c r="AD1327" s="98">
        <f t="shared" si="435"/>
        <v>27.450949367088604</v>
      </c>
    </row>
    <row r="1328" spans="2:30" ht="27">
      <c r="B1328" s="13">
        <f t="shared" si="439"/>
        <v>29</v>
      </c>
      <c r="C1328" s="74" t="s">
        <v>379</v>
      </c>
      <c r="D1328" s="74" t="s">
        <v>616</v>
      </c>
      <c r="E1328" s="486"/>
      <c r="F1328" s="486"/>
      <c r="G1328" s="473"/>
      <c r="H1328" s="578"/>
      <c r="I1328" s="473"/>
      <c r="J1328" s="15">
        <v>69631000</v>
      </c>
      <c r="K1328" s="15">
        <v>69631000</v>
      </c>
      <c r="L1328" s="49"/>
      <c r="M1328" s="22"/>
      <c r="N1328" s="407"/>
      <c r="O1328" s="407"/>
      <c r="P1328" s="407"/>
      <c r="Q1328" s="407"/>
      <c r="R1328" s="407"/>
      <c r="S1328" s="407"/>
      <c r="T1328" s="407"/>
      <c r="U1328" s="407"/>
      <c r="V1328" s="407"/>
      <c r="W1328" s="407"/>
      <c r="X1328" s="407"/>
      <c r="Y1328" s="20">
        <v>100</v>
      </c>
      <c r="Z1328" s="20">
        <v>90</v>
      </c>
      <c r="AA1328" s="692">
        <v>45809150</v>
      </c>
      <c r="AB1328" s="98">
        <f t="shared" si="434"/>
        <v>65.78844192960031</v>
      </c>
      <c r="AC1328" s="22">
        <f t="shared" si="438"/>
        <v>45809150</v>
      </c>
      <c r="AD1328" s="98">
        <f t="shared" si="435"/>
        <v>65.78844192960031</v>
      </c>
    </row>
    <row r="1329" spans="2:30">
      <c r="B1329" s="13">
        <f t="shared" si="439"/>
        <v>30</v>
      </c>
      <c r="C1329" s="74" t="s">
        <v>617</v>
      </c>
      <c r="D1329" s="74" t="s">
        <v>618</v>
      </c>
      <c r="E1329" s="486"/>
      <c r="F1329" s="486"/>
      <c r="G1329" s="473"/>
      <c r="H1329" s="578"/>
      <c r="I1329" s="473"/>
      <c r="J1329" s="15">
        <v>166015000</v>
      </c>
      <c r="K1329" s="25">
        <v>228015000</v>
      </c>
      <c r="L1329" s="407"/>
      <c r="M1329" s="407"/>
      <c r="N1329" s="407"/>
      <c r="O1329" s="407"/>
      <c r="P1329" s="407"/>
      <c r="Q1329" s="407"/>
      <c r="R1329" s="407"/>
      <c r="S1329" s="407"/>
      <c r="T1329" s="407"/>
      <c r="U1329" s="407"/>
      <c r="V1329" s="407"/>
      <c r="W1329" s="407"/>
      <c r="X1329" s="407"/>
      <c r="Y1329" s="20">
        <v>100</v>
      </c>
      <c r="Z1329" s="20">
        <v>100</v>
      </c>
      <c r="AA1329" s="691">
        <v>211773425</v>
      </c>
      <c r="AB1329" s="98">
        <f t="shared" si="434"/>
        <v>92.876970813323695</v>
      </c>
      <c r="AC1329" s="22">
        <f t="shared" si="438"/>
        <v>211773425</v>
      </c>
      <c r="AD1329" s="98">
        <f t="shared" si="435"/>
        <v>92.876970813323695</v>
      </c>
    </row>
    <row r="1330" spans="2:30">
      <c r="B1330" s="13">
        <f t="shared" si="439"/>
        <v>31</v>
      </c>
      <c r="C1330" s="81">
        <v>16.007999999999999</v>
      </c>
      <c r="D1330" s="21" t="s">
        <v>619</v>
      </c>
      <c r="E1330" s="486"/>
      <c r="F1330" s="486"/>
      <c r="G1330" s="473"/>
      <c r="H1330" s="578"/>
      <c r="I1330" s="473"/>
      <c r="J1330" s="15">
        <v>71100000</v>
      </c>
      <c r="K1330" s="15">
        <v>71100000</v>
      </c>
      <c r="L1330" s="407"/>
      <c r="M1330" s="407"/>
      <c r="N1330" s="407"/>
      <c r="O1330" s="407"/>
      <c r="P1330" s="407"/>
      <c r="Q1330" s="407"/>
      <c r="R1330" s="407"/>
      <c r="S1330" s="407"/>
      <c r="T1330" s="407"/>
      <c r="U1330" s="407"/>
      <c r="V1330" s="407"/>
      <c r="W1330" s="407"/>
      <c r="X1330" s="407"/>
      <c r="Y1330" s="20">
        <v>100</v>
      </c>
      <c r="Z1330" s="98">
        <v>70</v>
      </c>
      <c r="AA1330" s="691">
        <v>38397425</v>
      </c>
      <c r="AB1330" s="98">
        <f t="shared" si="434"/>
        <v>54.004817158931083</v>
      </c>
      <c r="AC1330" s="22">
        <f t="shared" si="438"/>
        <v>38397425</v>
      </c>
      <c r="AD1330" s="98">
        <f t="shared" si="435"/>
        <v>54.004817158931083</v>
      </c>
    </row>
    <row r="1331" spans="2:30" ht="40.5">
      <c r="B1331" s="13">
        <f t="shared" si="439"/>
        <v>32</v>
      </c>
      <c r="C1331" s="74" t="s">
        <v>383</v>
      </c>
      <c r="D1331" s="74" t="s">
        <v>620</v>
      </c>
      <c r="E1331" s="486"/>
      <c r="F1331" s="486"/>
      <c r="G1331" s="473"/>
      <c r="H1331" s="578"/>
      <c r="I1331" s="473"/>
      <c r="J1331" s="15">
        <v>25000000</v>
      </c>
      <c r="K1331" s="15">
        <v>25000000</v>
      </c>
      <c r="L1331" s="407"/>
      <c r="M1331" s="407"/>
      <c r="N1331" s="407"/>
      <c r="O1331" s="407"/>
      <c r="P1331" s="407"/>
      <c r="Q1331" s="407"/>
      <c r="R1331" s="407"/>
      <c r="S1331" s="407"/>
      <c r="T1331" s="407"/>
      <c r="U1331" s="407"/>
      <c r="V1331" s="407"/>
      <c r="W1331" s="407"/>
      <c r="X1331" s="407"/>
      <c r="Y1331" s="20">
        <v>100</v>
      </c>
      <c r="Z1331" s="20">
        <v>100</v>
      </c>
      <c r="AA1331" s="692">
        <v>24172000</v>
      </c>
      <c r="AB1331" s="98">
        <f t="shared" si="434"/>
        <v>96.688000000000002</v>
      </c>
      <c r="AC1331" s="22">
        <f t="shared" si="438"/>
        <v>24172000</v>
      </c>
      <c r="AD1331" s="98">
        <f t="shared" si="435"/>
        <v>96.688000000000002</v>
      </c>
    </row>
    <row r="1332" spans="2:30" ht="27">
      <c r="B1332" s="13">
        <f t="shared" si="439"/>
        <v>33</v>
      </c>
      <c r="C1332" s="74" t="s">
        <v>621</v>
      </c>
      <c r="D1332" s="74" t="s">
        <v>622</v>
      </c>
      <c r="E1332" s="486"/>
      <c r="F1332" s="486"/>
      <c r="G1332" s="473"/>
      <c r="H1332" s="578"/>
      <c r="I1332" s="473"/>
      <c r="J1332" s="15">
        <v>73300000</v>
      </c>
      <c r="K1332" s="25">
        <v>56000000</v>
      </c>
      <c r="L1332" s="407"/>
      <c r="M1332" s="407"/>
      <c r="N1332" s="407"/>
      <c r="O1332" s="407"/>
      <c r="P1332" s="407"/>
      <c r="Q1332" s="407"/>
      <c r="R1332" s="407"/>
      <c r="S1332" s="407"/>
      <c r="T1332" s="407"/>
      <c r="U1332" s="407"/>
      <c r="V1332" s="407"/>
      <c r="W1332" s="407"/>
      <c r="X1332" s="407"/>
      <c r="Y1332" s="20">
        <v>100</v>
      </c>
      <c r="Z1332" s="20">
        <v>100</v>
      </c>
      <c r="AA1332" s="162">
        <v>42393250</v>
      </c>
      <c r="AB1332" s="98">
        <f t="shared" si="434"/>
        <v>75.702232142857142</v>
      </c>
      <c r="AC1332" s="22">
        <f t="shared" si="438"/>
        <v>42393250</v>
      </c>
      <c r="AD1332" s="98">
        <f t="shared" si="435"/>
        <v>75.702232142857142</v>
      </c>
    </row>
    <row r="1333" spans="2:30">
      <c r="B1333" s="13">
        <f t="shared" si="439"/>
        <v>34</v>
      </c>
      <c r="C1333" s="74" t="s">
        <v>623</v>
      </c>
      <c r="D1333" s="74" t="s">
        <v>624</v>
      </c>
      <c r="E1333" s="486"/>
      <c r="F1333" s="486"/>
      <c r="G1333" s="473"/>
      <c r="H1333" s="578"/>
      <c r="I1333" s="473"/>
      <c r="J1333" s="15">
        <v>36700000</v>
      </c>
      <c r="K1333" s="15">
        <v>36700000</v>
      </c>
      <c r="L1333" s="407"/>
      <c r="M1333" s="407"/>
      <c r="N1333" s="407"/>
      <c r="O1333" s="407"/>
      <c r="P1333" s="407"/>
      <c r="Q1333" s="407"/>
      <c r="R1333" s="407"/>
      <c r="S1333" s="407"/>
      <c r="T1333" s="407"/>
      <c r="U1333" s="407"/>
      <c r="V1333" s="407"/>
      <c r="W1333" s="407"/>
      <c r="X1333" s="407"/>
      <c r="Y1333" s="20">
        <v>100</v>
      </c>
      <c r="Z1333" s="20">
        <v>100</v>
      </c>
      <c r="AA1333" s="660">
        <v>27825300</v>
      </c>
      <c r="AB1333" s="98">
        <f t="shared" si="434"/>
        <v>75.818256130790189</v>
      </c>
      <c r="AC1333" s="22">
        <f t="shared" si="438"/>
        <v>27825300</v>
      </c>
      <c r="AD1333" s="98">
        <f t="shared" si="435"/>
        <v>75.818256130790189</v>
      </c>
    </row>
    <row r="1334" spans="2:30">
      <c r="B1334" s="13">
        <f t="shared" si="439"/>
        <v>35</v>
      </c>
      <c r="C1334" s="74" t="s">
        <v>625</v>
      </c>
      <c r="D1334" s="74" t="s">
        <v>501</v>
      </c>
      <c r="E1334" s="486"/>
      <c r="F1334" s="486"/>
      <c r="G1334" s="473"/>
      <c r="H1334" s="578"/>
      <c r="I1334" s="473"/>
      <c r="J1334" s="15">
        <v>175000000</v>
      </c>
      <c r="K1334" s="15">
        <v>175000000</v>
      </c>
      <c r="L1334" s="407"/>
      <c r="M1334" s="407"/>
      <c r="N1334" s="407"/>
      <c r="O1334" s="407"/>
      <c r="P1334" s="407"/>
      <c r="Q1334" s="407"/>
      <c r="R1334" s="407"/>
      <c r="S1334" s="407"/>
      <c r="T1334" s="407"/>
      <c r="U1334" s="407"/>
      <c r="V1334" s="407"/>
      <c r="W1334" s="407"/>
      <c r="X1334" s="407"/>
      <c r="Y1334" s="20">
        <v>100</v>
      </c>
      <c r="Z1334" s="20">
        <v>100</v>
      </c>
      <c r="AA1334" s="660">
        <v>147501950</v>
      </c>
      <c r="AB1334" s="98">
        <f t="shared" si="434"/>
        <v>84.286828571428572</v>
      </c>
      <c r="AC1334" s="22">
        <f t="shared" si="438"/>
        <v>147501950</v>
      </c>
      <c r="AD1334" s="98">
        <f t="shared" si="435"/>
        <v>84.286828571428572</v>
      </c>
    </row>
    <row r="1335" spans="2:30">
      <c r="B1335" s="13">
        <f t="shared" si="439"/>
        <v>36</v>
      </c>
      <c r="C1335" s="74" t="s">
        <v>390</v>
      </c>
      <c r="D1335" s="74" t="s">
        <v>626</v>
      </c>
      <c r="E1335" s="486"/>
      <c r="F1335" s="486"/>
      <c r="G1335" s="473"/>
      <c r="H1335" s="578"/>
      <c r="I1335" s="473"/>
      <c r="J1335" s="15">
        <v>75000000</v>
      </c>
      <c r="K1335" s="25">
        <v>0</v>
      </c>
      <c r="L1335" s="407"/>
      <c r="M1335" s="407"/>
      <c r="N1335" s="407"/>
      <c r="O1335" s="407"/>
      <c r="P1335" s="407"/>
      <c r="Q1335" s="407"/>
      <c r="R1335" s="407"/>
      <c r="S1335" s="407"/>
      <c r="T1335" s="407"/>
      <c r="U1335" s="407"/>
      <c r="V1335" s="407"/>
      <c r="W1335" s="407"/>
      <c r="X1335" s="407"/>
      <c r="Y1335" s="98">
        <f t="shared" si="436"/>
        <v>0</v>
      </c>
      <c r="Z1335" s="98">
        <f t="shared" si="437"/>
        <v>0</v>
      </c>
      <c r="AA1335" s="660">
        <v>0</v>
      </c>
      <c r="AB1335" s="98"/>
      <c r="AC1335" s="22">
        <f t="shared" si="438"/>
        <v>0</v>
      </c>
      <c r="AD1335" s="98"/>
    </row>
    <row r="1336" spans="2:30" ht="27">
      <c r="B1336" s="13">
        <f t="shared" si="439"/>
        <v>37</v>
      </c>
      <c r="C1336" s="74" t="s">
        <v>392</v>
      </c>
      <c r="D1336" s="74" t="s">
        <v>2097</v>
      </c>
      <c r="E1336" s="486"/>
      <c r="F1336" s="486"/>
      <c r="G1336" s="473"/>
      <c r="H1336" s="578"/>
      <c r="I1336" s="473"/>
      <c r="J1336" s="15">
        <v>70000000</v>
      </c>
      <c r="K1336" s="25">
        <v>71725000</v>
      </c>
      <c r="L1336" s="407"/>
      <c r="M1336" s="407"/>
      <c r="N1336" s="407"/>
      <c r="O1336" s="407"/>
      <c r="P1336" s="407"/>
      <c r="Q1336" s="407"/>
      <c r="R1336" s="407"/>
      <c r="S1336" s="407"/>
      <c r="T1336" s="407"/>
      <c r="U1336" s="407"/>
      <c r="V1336" s="407"/>
      <c r="W1336" s="407"/>
      <c r="X1336" s="407"/>
      <c r="Y1336" s="20">
        <v>100</v>
      </c>
      <c r="Z1336" s="20">
        <v>100</v>
      </c>
      <c r="AA1336" s="661">
        <v>68920500</v>
      </c>
      <c r="AB1336" s="98">
        <f t="shared" si="434"/>
        <v>96.089926803764385</v>
      </c>
      <c r="AC1336" s="22">
        <f t="shared" ref="AC1336:AC1342" si="440">AA1336</f>
        <v>68920500</v>
      </c>
      <c r="AD1336" s="98">
        <f t="shared" si="435"/>
        <v>96.089926803764385</v>
      </c>
    </row>
    <row r="1337" spans="2:30" ht="27">
      <c r="B1337" s="13">
        <f t="shared" si="439"/>
        <v>38</v>
      </c>
      <c r="C1337" s="74"/>
      <c r="D1337" s="74" t="s">
        <v>2122</v>
      </c>
      <c r="E1337" s="486"/>
      <c r="F1337" s="486"/>
      <c r="G1337" s="473"/>
      <c r="H1337" s="578"/>
      <c r="I1337" s="473"/>
      <c r="J1337" s="15"/>
      <c r="K1337" s="25">
        <v>83000000</v>
      </c>
      <c r="L1337" s="407"/>
      <c r="M1337" s="407"/>
      <c r="N1337" s="407"/>
      <c r="O1337" s="407"/>
      <c r="P1337" s="407"/>
      <c r="Q1337" s="407"/>
      <c r="R1337" s="407"/>
      <c r="S1337" s="407"/>
      <c r="T1337" s="407"/>
      <c r="U1337" s="407"/>
      <c r="V1337" s="407"/>
      <c r="W1337" s="407"/>
      <c r="X1337" s="407"/>
      <c r="Y1337" s="20">
        <v>100</v>
      </c>
      <c r="Z1337" s="20">
        <v>100</v>
      </c>
      <c r="AA1337" s="661">
        <v>77169000</v>
      </c>
      <c r="AB1337" s="98">
        <f t="shared" si="434"/>
        <v>92.974698795180728</v>
      </c>
      <c r="AC1337" s="22">
        <f t="shared" si="440"/>
        <v>77169000</v>
      </c>
      <c r="AD1337" s="98">
        <f t="shared" si="435"/>
        <v>92.974698795180728</v>
      </c>
    </row>
    <row r="1338" spans="2:30" ht="38.25">
      <c r="B1338" s="13">
        <f t="shared" si="439"/>
        <v>39</v>
      </c>
      <c r="C1338" s="81">
        <v>16.021999999999998</v>
      </c>
      <c r="D1338" s="21" t="s">
        <v>627</v>
      </c>
      <c r="E1338" s="486"/>
      <c r="F1338" s="486"/>
      <c r="G1338" s="473"/>
      <c r="H1338" s="578"/>
      <c r="I1338" s="473"/>
      <c r="J1338" s="15">
        <v>60000000</v>
      </c>
      <c r="K1338" s="15">
        <v>60000000</v>
      </c>
      <c r="L1338" s="407"/>
      <c r="M1338" s="407"/>
      <c r="N1338" s="407"/>
      <c r="O1338" s="407"/>
      <c r="P1338" s="407"/>
      <c r="Q1338" s="407"/>
      <c r="R1338" s="407"/>
      <c r="S1338" s="407"/>
      <c r="T1338" s="407"/>
      <c r="U1338" s="407"/>
      <c r="V1338" s="407"/>
      <c r="W1338" s="407"/>
      <c r="X1338" s="407"/>
      <c r="Y1338" s="20">
        <v>100</v>
      </c>
      <c r="Z1338" s="20">
        <v>100</v>
      </c>
      <c r="AA1338" s="660">
        <v>56594500</v>
      </c>
      <c r="AB1338" s="98">
        <f t="shared" si="434"/>
        <v>94.32416666666667</v>
      </c>
      <c r="AC1338" s="22">
        <f t="shared" si="440"/>
        <v>56594500</v>
      </c>
      <c r="AD1338" s="98">
        <f t="shared" si="435"/>
        <v>94.32416666666667</v>
      </c>
    </row>
    <row r="1339" spans="2:30" ht="33.75" customHeight="1">
      <c r="B1339" s="13">
        <f t="shared" si="439"/>
        <v>40</v>
      </c>
      <c r="C1339" s="81">
        <v>16.024999999999999</v>
      </c>
      <c r="D1339" s="21" t="s">
        <v>628</v>
      </c>
      <c r="E1339" s="486"/>
      <c r="F1339" s="486"/>
      <c r="G1339" s="473"/>
      <c r="H1339" s="578"/>
      <c r="I1339" s="473"/>
      <c r="J1339" s="15">
        <v>53000000</v>
      </c>
      <c r="K1339" s="15">
        <v>53000000</v>
      </c>
      <c r="L1339" s="407"/>
      <c r="M1339" s="407"/>
      <c r="N1339" s="407"/>
      <c r="O1339" s="407"/>
      <c r="P1339" s="407"/>
      <c r="Q1339" s="407"/>
      <c r="R1339" s="407"/>
      <c r="S1339" s="407"/>
      <c r="T1339" s="407"/>
      <c r="U1339" s="407"/>
      <c r="V1339" s="407"/>
      <c r="W1339" s="407"/>
      <c r="X1339" s="407"/>
      <c r="Y1339" s="20">
        <v>100</v>
      </c>
      <c r="Z1339" s="20">
        <v>100</v>
      </c>
      <c r="AA1339" s="661">
        <v>43400750</v>
      </c>
      <c r="AB1339" s="98">
        <f t="shared" si="434"/>
        <v>81.888207547169813</v>
      </c>
      <c r="AC1339" s="22">
        <f t="shared" si="440"/>
        <v>43400750</v>
      </c>
      <c r="AD1339" s="98">
        <f t="shared" si="435"/>
        <v>81.888207547169813</v>
      </c>
    </row>
    <row r="1340" spans="2:30" ht="36.75" customHeight="1">
      <c r="B1340" s="13">
        <f t="shared" si="439"/>
        <v>41</v>
      </c>
      <c r="C1340" s="81">
        <v>16.026</v>
      </c>
      <c r="D1340" s="21" t="s">
        <v>629</v>
      </c>
      <c r="E1340" s="486"/>
      <c r="F1340" s="486"/>
      <c r="G1340" s="473"/>
      <c r="H1340" s="578"/>
      <c r="I1340" s="473"/>
      <c r="J1340" s="15">
        <v>78207000</v>
      </c>
      <c r="K1340" s="15">
        <v>73207000</v>
      </c>
      <c r="L1340" s="407"/>
      <c r="M1340" s="407"/>
      <c r="N1340" s="407"/>
      <c r="O1340" s="407"/>
      <c r="P1340" s="407"/>
      <c r="Q1340" s="407"/>
      <c r="R1340" s="407"/>
      <c r="S1340" s="407"/>
      <c r="T1340" s="407"/>
      <c r="U1340" s="407"/>
      <c r="V1340" s="407"/>
      <c r="W1340" s="407"/>
      <c r="X1340" s="407"/>
      <c r="Y1340" s="20">
        <v>100</v>
      </c>
      <c r="Z1340" s="20">
        <v>100</v>
      </c>
      <c r="AA1340" s="661">
        <v>64596855</v>
      </c>
      <c r="AB1340" s="98">
        <f t="shared" si="434"/>
        <v>88.238631551627577</v>
      </c>
      <c r="AC1340" s="22">
        <f t="shared" si="440"/>
        <v>64596855</v>
      </c>
      <c r="AD1340" s="98">
        <f t="shared" si="435"/>
        <v>88.238631551627577</v>
      </c>
    </row>
    <row r="1341" spans="2:30" ht="32.25" customHeight="1">
      <c r="B1341" s="13">
        <f t="shared" si="439"/>
        <v>42</v>
      </c>
      <c r="C1341" s="81">
        <v>16.027000000000001</v>
      </c>
      <c r="D1341" s="21" t="s">
        <v>630</v>
      </c>
      <c r="E1341" s="486"/>
      <c r="F1341" s="486"/>
      <c r="G1341" s="473"/>
      <c r="H1341" s="578"/>
      <c r="I1341" s="473"/>
      <c r="J1341" s="15">
        <v>50000000</v>
      </c>
      <c r="K1341" s="15">
        <v>50000000</v>
      </c>
      <c r="L1341" s="407"/>
      <c r="M1341" s="407"/>
      <c r="N1341" s="407"/>
      <c r="O1341" s="407"/>
      <c r="P1341" s="407"/>
      <c r="Q1341" s="407"/>
      <c r="R1341" s="407"/>
      <c r="S1341" s="407"/>
      <c r="T1341" s="407"/>
      <c r="U1341" s="407"/>
      <c r="V1341" s="407"/>
      <c r="W1341" s="407"/>
      <c r="X1341" s="407"/>
      <c r="Y1341" s="20">
        <v>100</v>
      </c>
      <c r="Z1341" s="20">
        <v>100</v>
      </c>
      <c r="AA1341" s="661">
        <v>37737500</v>
      </c>
      <c r="AB1341" s="98">
        <f t="shared" si="434"/>
        <v>75.475000000000009</v>
      </c>
      <c r="AC1341" s="22">
        <f t="shared" si="440"/>
        <v>37737500</v>
      </c>
      <c r="AD1341" s="98">
        <f t="shared" si="435"/>
        <v>75.475000000000009</v>
      </c>
    </row>
    <row r="1342" spans="2:30" ht="18" customHeight="1">
      <c r="B1342" s="13">
        <f t="shared" si="439"/>
        <v>43</v>
      </c>
      <c r="C1342" s="81"/>
      <c r="D1342" s="21" t="s">
        <v>2124</v>
      </c>
      <c r="E1342" s="486"/>
      <c r="F1342" s="486"/>
      <c r="G1342" s="473"/>
      <c r="H1342" s="578"/>
      <c r="I1342" s="473"/>
      <c r="J1342" s="15"/>
      <c r="K1342" s="15">
        <v>18639000</v>
      </c>
      <c r="L1342" s="407"/>
      <c r="M1342" s="407"/>
      <c r="N1342" s="407"/>
      <c r="O1342" s="407"/>
      <c r="P1342" s="407"/>
      <c r="Q1342" s="407"/>
      <c r="R1342" s="407"/>
      <c r="S1342" s="407"/>
      <c r="T1342" s="407"/>
      <c r="U1342" s="407"/>
      <c r="V1342" s="407"/>
      <c r="W1342" s="407"/>
      <c r="X1342" s="407"/>
      <c r="Y1342" s="20">
        <v>100</v>
      </c>
      <c r="Z1342" s="20">
        <v>70</v>
      </c>
      <c r="AA1342" s="690">
        <v>10438564</v>
      </c>
      <c r="AB1342" s="98">
        <f t="shared" si="434"/>
        <v>56.003884328558392</v>
      </c>
      <c r="AC1342" s="22">
        <f t="shared" si="440"/>
        <v>10438564</v>
      </c>
      <c r="AD1342" s="98">
        <f t="shared" si="435"/>
        <v>56.003884328558392</v>
      </c>
    </row>
    <row r="1343" spans="2:30" ht="27">
      <c r="B1343" s="13"/>
      <c r="C1343" s="86" t="s">
        <v>566</v>
      </c>
      <c r="D1343" s="86" t="s">
        <v>567</v>
      </c>
      <c r="E1343" s="488"/>
      <c r="F1343" s="488"/>
      <c r="G1343" s="475"/>
      <c r="H1343" s="585"/>
      <c r="I1343" s="475"/>
      <c r="J1343" s="130"/>
      <c r="K1343" s="130"/>
      <c r="L1343" s="407"/>
      <c r="M1343" s="407"/>
      <c r="N1343" s="407"/>
      <c r="O1343" s="407"/>
      <c r="P1343" s="407"/>
      <c r="Q1343" s="407"/>
      <c r="R1343" s="407"/>
      <c r="S1343" s="407"/>
      <c r="T1343" s="407"/>
      <c r="U1343" s="407"/>
      <c r="V1343" s="407"/>
      <c r="W1343" s="407"/>
      <c r="X1343" s="407"/>
      <c r="Y1343" s="98"/>
      <c r="Z1343" s="98"/>
      <c r="AA1343" s="662"/>
      <c r="AB1343" s="98"/>
      <c r="AC1343" s="22"/>
      <c r="AD1343" s="98"/>
    </row>
    <row r="1344" spans="2:30" ht="22.5" customHeight="1">
      <c r="B1344" s="13">
        <f>B1342+1</f>
        <v>44</v>
      </c>
      <c r="C1344" s="74" t="s">
        <v>219</v>
      </c>
      <c r="D1344" s="21" t="s">
        <v>631</v>
      </c>
      <c r="E1344" s="486"/>
      <c r="F1344" s="486"/>
      <c r="G1344" s="473"/>
      <c r="H1344" s="578"/>
      <c r="I1344" s="473"/>
      <c r="J1344" s="15">
        <v>77483000</v>
      </c>
      <c r="K1344" s="25">
        <v>116334000</v>
      </c>
      <c r="L1344" s="407"/>
      <c r="M1344" s="407"/>
      <c r="N1344" s="407"/>
      <c r="O1344" s="407"/>
      <c r="P1344" s="407"/>
      <c r="Q1344" s="407"/>
      <c r="R1344" s="407"/>
      <c r="S1344" s="407"/>
      <c r="T1344" s="407"/>
      <c r="U1344" s="407"/>
      <c r="V1344" s="407"/>
      <c r="W1344" s="407"/>
      <c r="X1344" s="407"/>
      <c r="Y1344" s="20">
        <v>100</v>
      </c>
      <c r="Z1344" s="20">
        <v>100</v>
      </c>
      <c r="AA1344" s="659">
        <v>115929888</v>
      </c>
      <c r="AB1344" s="98">
        <f t="shared" si="434"/>
        <v>99.652627778637367</v>
      </c>
      <c r="AC1344" s="22">
        <f t="shared" si="438"/>
        <v>115929888</v>
      </c>
      <c r="AD1344" s="98">
        <f t="shared" si="435"/>
        <v>99.652627778637367</v>
      </c>
    </row>
    <row r="1345" spans="2:32" ht="25.5">
      <c r="B1345" s="13">
        <f t="shared" si="439"/>
        <v>45</v>
      </c>
      <c r="C1345" s="74" t="s">
        <v>221</v>
      </c>
      <c r="D1345" s="21" t="s">
        <v>632</v>
      </c>
      <c r="E1345" s="486"/>
      <c r="F1345" s="486"/>
      <c r="G1345" s="473"/>
      <c r="H1345" s="578"/>
      <c r="I1345" s="473"/>
      <c r="J1345" s="15">
        <v>229825000</v>
      </c>
      <c r="K1345" s="25">
        <v>177138000</v>
      </c>
      <c r="L1345" s="407"/>
      <c r="M1345" s="407"/>
      <c r="N1345" s="407"/>
      <c r="O1345" s="407"/>
      <c r="P1345" s="407"/>
      <c r="Q1345" s="407"/>
      <c r="R1345" s="407"/>
      <c r="S1345" s="407"/>
      <c r="T1345" s="407"/>
      <c r="U1345" s="407"/>
      <c r="V1345" s="407"/>
      <c r="W1345" s="407"/>
      <c r="X1345" s="407"/>
      <c r="Y1345" s="20">
        <v>100</v>
      </c>
      <c r="Z1345" s="20">
        <v>100</v>
      </c>
      <c r="AA1345" s="659">
        <v>176856502</v>
      </c>
      <c r="AB1345" s="98">
        <f t="shared" si="434"/>
        <v>99.841085481376098</v>
      </c>
      <c r="AC1345" s="22">
        <f t="shared" si="438"/>
        <v>176856502</v>
      </c>
      <c r="AD1345" s="98">
        <f t="shared" si="435"/>
        <v>99.841085481376098</v>
      </c>
    </row>
    <row r="1346" spans="2:32" ht="17.25" customHeight="1">
      <c r="B1346" s="13">
        <f t="shared" si="439"/>
        <v>46</v>
      </c>
      <c r="C1346" s="74" t="s">
        <v>564</v>
      </c>
      <c r="D1346" s="21" t="s">
        <v>633</v>
      </c>
      <c r="E1346" s="509"/>
      <c r="F1346" s="509"/>
      <c r="G1346" s="500"/>
      <c r="H1346" s="579"/>
      <c r="I1346" s="500"/>
      <c r="J1346" s="79">
        <v>75000000</v>
      </c>
      <c r="K1346" s="40">
        <v>75000000</v>
      </c>
      <c r="L1346" s="454"/>
      <c r="M1346" s="454"/>
      <c r="N1346" s="454"/>
      <c r="O1346" s="454"/>
      <c r="P1346" s="454"/>
      <c r="Q1346" s="454"/>
      <c r="R1346" s="454"/>
      <c r="S1346" s="454"/>
      <c r="T1346" s="454"/>
      <c r="U1346" s="454"/>
      <c r="V1346" s="454"/>
      <c r="W1346" s="454"/>
      <c r="X1346" s="454"/>
      <c r="Y1346" s="20">
        <v>100</v>
      </c>
      <c r="Z1346" s="20">
        <v>100</v>
      </c>
      <c r="AA1346" s="648">
        <v>73662250</v>
      </c>
      <c r="AB1346" s="98">
        <f t="shared" si="434"/>
        <v>98.216333333333338</v>
      </c>
      <c r="AC1346" s="73">
        <f t="shared" si="438"/>
        <v>73662250</v>
      </c>
      <c r="AD1346" s="98">
        <f t="shared" si="435"/>
        <v>98.216333333333338</v>
      </c>
    </row>
    <row r="1347" spans="2:32" ht="28.5" customHeight="1">
      <c r="B1347" s="13">
        <f t="shared" si="439"/>
        <v>47</v>
      </c>
      <c r="C1347" s="376"/>
      <c r="D1347" s="671" t="s">
        <v>2123</v>
      </c>
      <c r="E1347" s="685"/>
      <c r="F1347" s="685"/>
      <c r="G1347" s="686"/>
      <c r="H1347" s="687"/>
      <c r="I1347" s="686"/>
      <c r="J1347" s="598"/>
      <c r="K1347" s="85">
        <v>55271000</v>
      </c>
      <c r="L1347" s="688"/>
      <c r="M1347" s="688"/>
      <c r="N1347" s="688"/>
      <c r="O1347" s="688"/>
      <c r="P1347" s="688"/>
      <c r="Q1347" s="688"/>
      <c r="R1347" s="688"/>
      <c r="S1347" s="688"/>
      <c r="T1347" s="688"/>
      <c r="U1347" s="688"/>
      <c r="V1347" s="688"/>
      <c r="W1347" s="688"/>
      <c r="X1347" s="688"/>
      <c r="Y1347" s="20">
        <v>100</v>
      </c>
      <c r="Z1347" s="20">
        <v>100</v>
      </c>
      <c r="AA1347" s="689">
        <v>35466500</v>
      </c>
      <c r="AB1347" s="98">
        <f t="shared" si="434"/>
        <v>64.168370393153722</v>
      </c>
      <c r="AC1347" s="112">
        <f>AA1347</f>
        <v>35466500</v>
      </c>
      <c r="AD1347" s="98">
        <f t="shared" si="435"/>
        <v>64.168370393153722</v>
      </c>
    </row>
    <row r="1348" spans="2:32" ht="18.75" customHeight="1">
      <c r="B1348" s="178">
        <v>120</v>
      </c>
      <c r="C1348" s="855" t="s">
        <v>634</v>
      </c>
      <c r="D1348" s="855"/>
      <c r="E1348" s="483"/>
      <c r="F1348" s="483">
        <v>44</v>
      </c>
      <c r="G1348" s="468"/>
      <c r="H1348" s="526"/>
      <c r="I1348" s="468"/>
      <c r="J1348" s="420">
        <f>SUM(J1297:J1346)</f>
        <v>4400035000</v>
      </c>
      <c r="K1348" s="420">
        <f>SUM(K1297:K1347)</f>
        <v>4701149000</v>
      </c>
      <c r="L1348" s="37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84">
        <f>SUM(Y1297:Y1346)/44</f>
        <v>95.454545454545453</v>
      </c>
      <c r="Z1348" s="84">
        <f>SUM(Z1297:Z1346)/44</f>
        <v>93.522727272727266</v>
      </c>
      <c r="AA1348" s="68">
        <f>SUM(AA1297:AA1347)</f>
        <v>3984469802</v>
      </c>
      <c r="AB1348" s="84">
        <f>SUM(AB1297:AB1346)/47</f>
        <v>75.07873374518951</v>
      </c>
      <c r="AC1348" s="68">
        <f>SUM(AC1297:AC1347)</f>
        <v>3984469802</v>
      </c>
      <c r="AD1348" s="84">
        <f>SUM(AD1297:AD1346)/47</f>
        <v>75.07873374518951</v>
      </c>
    </row>
    <row r="1349" spans="2:32" ht="27">
      <c r="B1349" s="66"/>
      <c r="C1349" s="63" t="s">
        <v>635</v>
      </c>
      <c r="D1349" s="64" t="s">
        <v>636</v>
      </c>
      <c r="E1349" s="484"/>
      <c r="F1349" s="484"/>
      <c r="G1349" s="472"/>
      <c r="H1349" s="242"/>
      <c r="I1349" s="472"/>
      <c r="J1349" s="127"/>
      <c r="K1349" s="127"/>
      <c r="L1349" s="66"/>
      <c r="M1349" s="137"/>
      <c r="N1349" s="63"/>
      <c r="O1349" s="63"/>
      <c r="P1349" s="63"/>
      <c r="Q1349" s="63"/>
      <c r="R1349" s="63"/>
      <c r="S1349" s="63" t="s">
        <v>1472</v>
      </c>
      <c r="T1349" s="63">
        <v>2</v>
      </c>
      <c r="U1349" s="63">
        <v>2</v>
      </c>
      <c r="V1349" s="63"/>
      <c r="W1349" s="63"/>
      <c r="X1349" s="63"/>
      <c r="Y1349" s="179"/>
      <c r="Z1349" s="98"/>
      <c r="AA1349" s="20"/>
      <c r="AB1349" s="98"/>
      <c r="AC1349" s="20"/>
      <c r="AD1349" s="98"/>
    </row>
    <row r="1350" spans="2:32" ht="27">
      <c r="B1350" s="13"/>
      <c r="C1350" s="86" t="s">
        <v>635</v>
      </c>
      <c r="D1350" s="86" t="s">
        <v>26</v>
      </c>
      <c r="E1350" s="87"/>
      <c r="F1350" s="485"/>
      <c r="G1350" s="441"/>
      <c r="H1350" s="87"/>
      <c r="I1350" s="87"/>
      <c r="J1350" s="130"/>
      <c r="K1350" s="130"/>
      <c r="L1350" s="421"/>
      <c r="M1350" s="422"/>
      <c r="N1350" s="423"/>
      <c r="O1350" s="424"/>
      <c r="P1350" s="425"/>
      <c r="Q1350" s="426"/>
      <c r="R1350" s="517"/>
      <c r="S1350" s="426"/>
      <c r="T1350" s="426"/>
      <c r="U1350" s="517"/>
      <c r="V1350" s="426"/>
      <c r="W1350" s="426"/>
      <c r="X1350" s="517"/>
      <c r="Y1350" s="17"/>
      <c r="Z1350" s="17"/>
      <c r="AB1350" s="17"/>
    </row>
    <row r="1351" spans="2:32" ht="25.5">
      <c r="B1351" s="13">
        <f t="shared" si="439"/>
        <v>1</v>
      </c>
      <c r="C1351" s="74" t="s">
        <v>203</v>
      </c>
      <c r="D1351" s="74" t="s">
        <v>28</v>
      </c>
      <c r="E1351" s="89"/>
      <c r="F1351" s="204"/>
      <c r="G1351" s="193"/>
      <c r="H1351" s="89"/>
      <c r="I1351" s="89"/>
      <c r="J1351" s="15">
        <v>516725000</v>
      </c>
      <c r="K1351" s="25">
        <v>842845000</v>
      </c>
      <c r="L1351" s="427" t="s">
        <v>2004</v>
      </c>
      <c r="M1351" s="422"/>
      <c r="N1351" s="427" t="s">
        <v>2136</v>
      </c>
      <c r="O1351" s="428"/>
      <c r="P1351" s="423"/>
      <c r="Q1351" s="426"/>
      <c r="R1351" s="426"/>
      <c r="S1351" s="426"/>
      <c r="T1351" s="426"/>
      <c r="U1351" s="426"/>
      <c r="V1351" s="426"/>
      <c r="W1351" s="426"/>
      <c r="X1351" s="426"/>
      <c r="Y1351" s="20">
        <v>100</v>
      </c>
      <c r="Z1351" s="98">
        <v>100</v>
      </c>
      <c r="AA1351" s="20">
        <v>805484983</v>
      </c>
      <c r="AB1351" s="98">
        <f>AA1351/K1351*100</f>
        <v>95.567391750559111</v>
      </c>
      <c r="AC1351" s="180">
        <f>AA1351</f>
        <v>805484983</v>
      </c>
      <c r="AD1351" s="98">
        <f>AC1351/K1351*100</f>
        <v>95.567391750559111</v>
      </c>
      <c r="AF1351" s="2" t="s">
        <v>1</v>
      </c>
    </row>
    <row r="1352" spans="2:32">
      <c r="B1352" s="13">
        <f t="shared" si="439"/>
        <v>2</v>
      </c>
      <c r="C1352" s="74" t="s">
        <v>210</v>
      </c>
      <c r="D1352" s="74" t="s">
        <v>30</v>
      </c>
      <c r="E1352" s="89"/>
      <c r="F1352" s="204"/>
      <c r="G1352" s="193"/>
      <c r="H1352" s="89"/>
      <c r="I1352" s="89"/>
      <c r="J1352" s="15">
        <v>100000000</v>
      </c>
      <c r="K1352" s="15">
        <v>100000000</v>
      </c>
      <c r="L1352" s="421"/>
      <c r="M1352" s="422"/>
      <c r="N1352" s="423"/>
      <c r="O1352" s="424"/>
      <c r="P1352" s="426"/>
      <c r="Q1352" s="426"/>
      <c r="R1352" s="426"/>
      <c r="S1352" s="426"/>
      <c r="T1352" s="426"/>
      <c r="U1352" s="426"/>
      <c r="V1352" s="426"/>
      <c r="W1352" s="426"/>
      <c r="X1352" s="426"/>
      <c r="Y1352" s="20">
        <v>100</v>
      </c>
      <c r="Z1352" s="98">
        <v>100</v>
      </c>
      <c r="AA1352" s="20">
        <v>100000000</v>
      </c>
      <c r="AB1352" s="98">
        <f t="shared" ref="AB1352:AB1391" si="441">AA1352/K1352*100</f>
        <v>100</v>
      </c>
      <c r="AC1352" s="181">
        <f t="shared" ref="AC1352:AC1391" si="442">AA1352</f>
        <v>100000000</v>
      </c>
      <c r="AD1352" s="98">
        <f t="shared" ref="AD1352:AD1391" si="443">AC1352/K1352*100</f>
        <v>100</v>
      </c>
    </row>
    <row r="1353" spans="2:32">
      <c r="B1353" s="13">
        <f t="shared" si="439"/>
        <v>3</v>
      </c>
      <c r="C1353" s="74" t="s">
        <v>204</v>
      </c>
      <c r="D1353" s="74" t="s">
        <v>32</v>
      </c>
      <c r="E1353" s="89"/>
      <c r="F1353" s="204"/>
      <c r="G1353" s="193"/>
      <c r="H1353" s="89"/>
      <c r="I1353" s="89"/>
      <c r="J1353" s="15">
        <v>294730000</v>
      </c>
      <c r="K1353" s="25">
        <v>324730000</v>
      </c>
      <c r="L1353" s="422"/>
      <c r="M1353" s="422"/>
      <c r="N1353" s="426"/>
      <c r="O1353" s="426"/>
      <c r="P1353" s="426"/>
      <c r="Q1353" s="426"/>
      <c r="R1353" s="426"/>
      <c r="S1353" s="426"/>
      <c r="T1353" s="426"/>
      <c r="U1353" s="426"/>
      <c r="V1353" s="426"/>
      <c r="W1353" s="426"/>
      <c r="X1353" s="426"/>
      <c r="Y1353" s="20">
        <v>100</v>
      </c>
      <c r="Z1353" s="98">
        <v>100</v>
      </c>
      <c r="AA1353" s="20">
        <v>282100900</v>
      </c>
      <c r="AB1353" s="98">
        <f t="shared" si="441"/>
        <v>86.872447879777042</v>
      </c>
      <c r="AC1353" s="181">
        <f t="shared" si="442"/>
        <v>282100900</v>
      </c>
      <c r="AD1353" s="98">
        <f t="shared" si="443"/>
        <v>86.872447879777042</v>
      </c>
    </row>
    <row r="1354" spans="2:32">
      <c r="B1354" s="13">
        <f t="shared" si="439"/>
        <v>4</v>
      </c>
      <c r="C1354" s="74" t="s">
        <v>205</v>
      </c>
      <c r="D1354" s="74" t="s">
        <v>34</v>
      </c>
      <c r="E1354" s="89"/>
      <c r="F1354" s="204"/>
      <c r="G1354" s="193"/>
      <c r="H1354" s="89"/>
      <c r="I1354" s="89"/>
      <c r="J1354" s="15">
        <v>110000000</v>
      </c>
      <c r="K1354" s="25">
        <v>524800000</v>
      </c>
      <c r="L1354" s="422" t="s">
        <v>2135</v>
      </c>
      <c r="M1354" s="422">
        <v>371000000</v>
      </c>
      <c r="N1354" s="426"/>
      <c r="O1354" s="423"/>
      <c r="P1354" s="425"/>
      <c r="Q1354" s="423"/>
      <c r="R1354" s="423"/>
      <c r="S1354" s="423"/>
      <c r="T1354" s="423"/>
      <c r="U1354" s="423"/>
      <c r="V1354" s="423"/>
      <c r="W1354" s="423"/>
      <c r="X1354" s="423"/>
      <c r="Y1354" s="20">
        <v>100</v>
      </c>
      <c r="Z1354" s="98">
        <v>100</v>
      </c>
      <c r="AA1354" s="20">
        <v>524040000</v>
      </c>
      <c r="AB1354" s="98">
        <f t="shared" si="441"/>
        <v>99.855182926829272</v>
      </c>
      <c r="AC1354" s="181">
        <f t="shared" si="442"/>
        <v>524040000</v>
      </c>
      <c r="AD1354" s="98">
        <f t="shared" si="443"/>
        <v>99.855182926829272</v>
      </c>
    </row>
    <row r="1355" spans="2:32" ht="25.5">
      <c r="B1355" s="13">
        <f t="shared" si="439"/>
        <v>5</v>
      </c>
      <c r="C1355" s="74" t="s">
        <v>637</v>
      </c>
      <c r="D1355" s="21" t="s">
        <v>638</v>
      </c>
      <c r="E1355" s="89"/>
      <c r="F1355" s="204"/>
      <c r="G1355" s="193"/>
      <c r="H1355" s="89"/>
      <c r="I1355" s="89"/>
      <c r="J1355" s="15">
        <v>39776000</v>
      </c>
      <c r="K1355" s="25">
        <v>70512000</v>
      </c>
      <c r="L1355" s="422"/>
      <c r="M1355" s="422"/>
      <c r="N1355" s="426"/>
      <c r="O1355" s="423"/>
      <c r="P1355" s="425"/>
      <c r="Q1355" s="423"/>
      <c r="R1355" s="423"/>
      <c r="S1355" s="423"/>
      <c r="T1355" s="423"/>
      <c r="U1355" s="423"/>
      <c r="V1355" s="423"/>
      <c r="W1355" s="423"/>
      <c r="X1355" s="423"/>
      <c r="Y1355" s="20">
        <v>100</v>
      </c>
      <c r="Z1355" s="98">
        <v>100</v>
      </c>
      <c r="AA1355" s="20">
        <v>70512000</v>
      </c>
      <c r="AB1355" s="98">
        <f t="shared" si="441"/>
        <v>100</v>
      </c>
      <c r="AC1355" s="181">
        <f t="shared" si="442"/>
        <v>70512000</v>
      </c>
      <c r="AD1355" s="98">
        <f t="shared" si="443"/>
        <v>100</v>
      </c>
    </row>
    <row r="1356" spans="2:32">
      <c r="B1356" s="13">
        <f t="shared" si="439"/>
        <v>6</v>
      </c>
      <c r="C1356" s="74" t="s">
        <v>215</v>
      </c>
      <c r="D1356" s="74" t="s">
        <v>36</v>
      </c>
      <c r="E1356" s="89"/>
      <c r="F1356" s="204"/>
      <c r="G1356" s="193"/>
      <c r="H1356" s="89"/>
      <c r="I1356" s="89"/>
      <c r="J1356" s="15">
        <v>50000000</v>
      </c>
      <c r="K1356" s="15">
        <v>50000000</v>
      </c>
      <c r="L1356" s="426"/>
      <c r="M1356" s="422"/>
      <c r="N1356" s="426"/>
      <c r="O1356" s="426"/>
      <c r="P1356" s="426"/>
      <c r="Q1356" s="426"/>
      <c r="R1356" s="426"/>
      <c r="S1356" s="426"/>
      <c r="T1356" s="426"/>
      <c r="U1356" s="426"/>
      <c r="V1356" s="426"/>
      <c r="W1356" s="426"/>
      <c r="X1356" s="426"/>
      <c r="Y1356" s="20">
        <v>100</v>
      </c>
      <c r="Z1356" s="98">
        <v>100</v>
      </c>
      <c r="AA1356" s="20">
        <v>31482500</v>
      </c>
      <c r="AB1356" s="98">
        <f t="shared" si="441"/>
        <v>62.965000000000003</v>
      </c>
      <c r="AC1356" s="181">
        <f t="shared" si="442"/>
        <v>31482500</v>
      </c>
      <c r="AD1356" s="98">
        <f t="shared" si="443"/>
        <v>62.965000000000003</v>
      </c>
    </row>
    <row r="1357" spans="2:32" ht="27">
      <c r="B1357" s="13">
        <f t="shared" si="439"/>
        <v>7</v>
      </c>
      <c r="C1357" s="74" t="s">
        <v>216</v>
      </c>
      <c r="D1357" s="74" t="s">
        <v>360</v>
      </c>
      <c r="E1357" s="89"/>
      <c r="F1357" s="204"/>
      <c r="G1357" s="193"/>
      <c r="H1357" s="89"/>
      <c r="I1357" s="89"/>
      <c r="J1357" s="15">
        <v>10000000</v>
      </c>
      <c r="K1357" s="15">
        <v>10000000</v>
      </c>
      <c r="L1357" s="426"/>
      <c r="M1357" s="422"/>
      <c r="N1357" s="426"/>
      <c r="O1357" s="426"/>
      <c r="P1357" s="426"/>
      <c r="Q1357" s="426"/>
      <c r="R1357" s="426"/>
      <c r="S1357" s="426"/>
      <c r="T1357" s="426"/>
      <c r="U1357" s="426"/>
      <c r="V1357" s="426"/>
      <c r="W1357" s="426"/>
      <c r="X1357" s="426"/>
      <c r="Y1357" s="20">
        <v>100</v>
      </c>
      <c r="Z1357" s="98">
        <v>100</v>
      </c>
      <c r="AA1357" s="20">
        <v>9784500</v>
      </c>
      <c r="AB1357" s="98">
        <f t="shared" si="441"/>
        <v>97.844999999999999</v>
      </c>
      <c r="AC1357" s="180">
        <f t="shared" si="442"/>
        <v>9784500</v>
      </c>
      <c r="AD1357" s="98">
        <f t="shared" si="443"/>
        <v>97.844999999999999</v>
      </c>
    </row>
    <row r="1358" spans="2:32" ht="15.75">
      <c r="B1358" s="13"/>
      <c r="C1358" s="86" t="s">
        <v>639</v>
      </c>
      <c r="D1358" s="86" t="s">
        <v>640</v>
      </c>
      <c r="E1358" s="87"/>
      <c r="F1358" s="485"/>
      <c r="G1358" s="441"/>
      <c r="H1358" s="87"/>
      <c r="I1358" s="87"/>
      <c r="J1358" s="130"/>
      <c r="K1358" s="130"/>
      <c r="L1358" s="426"/>
      <c r="M1358" s="422"/>
      <c r="N1358" s="426"/>
      <c r="O1358" s="426"/>
      <c r="P1358" s="426"/>
      <c r="Q1358" s="426"/>
      <c r="R1358" s="426"/>
      <c r="S1358" s="426"/>
      <c r="T1358" s="426"/>
      <c r="U1358" s="426"/>
      <c r="V1358" s="426"/>
      <c r="W1358" s="426"/>
      <c r="X1358" s="426"/>
      <c r="Y1358" s="20"/>
      <c r="Z1358" s="98"/>
      <c r="AA1358" s="22"/>
      <c r="AB1358" s="98"/>
      <c r="AC1358" s="181"/>
      <c r="AD1358" s="98"/>
    </row>
    <row r="1359" spans="2:32">
      <c r="B1359" s="13">
        <f>B1357+1</f>
        <v>8</v>
      </c>
      <c r="C1359" s="74" t="s">
        <v>219</v>
      </c>
      <c r="D1359" s="21" t="s">
        <v>641</v>
      </c>
      <c r="E1359" s="89"/>
      <c r="F1359" s="204"/>
      <c r="G1359" s="193"/>
      <c r="H1359" s="89"/>
      <c r="I1359" s="89"/>
      <c r="J1359" s="15">
        <v>100810000</v>
      </c>
      <c r="K1359" s="15">
        <v>100810000</v>
      </c>
      <c r="L1359" s="426"/>
      <c r="M1359" s="422"/>
      <c r="N1359" s="426"/>
      <c r="O1359" s="426"/>
      <c r="P1359" s="426"/>
      <c r="Q1359" s="426"/>
      <c r="R1359" s="426"/>
      <c r="S1359" s="426"/>
      <c r="T1359" s="426"/>
      <c r="U1359" s="426"/>
      <c r="V1359" s="426"/>
      <c r="W1359" s="426"/>
      <c r="X1359" s="426"/>
      <c r="Y1359" s="20">
        <v>100</v>
      </c>
      <c r="Z1359" s="98">
        <v>100</v>
      </c>
      <c r="AA1359" s="20">
        <v>100810000</v>
      </c>
      <c r="AB1359" s="98">
        <f t="shared" si="441"/>
        <v>100</v>
      </c>
      <c r="AC1359" s="180">
        <f t="shared" si="442"/>
        <v>100810000</v>
      </c>
      <c r="AD1359" s="98">
        <f t="shared" si="443"/>
        <v>100</v>
      </c>
    </row>
    <row r="1360" spans="2:32">
      <c r="B1360" s="13">
        <f t="shared" si="439"/>
        <v>9</v>
      </c>
      <c r="C1360" s="74" t="s">
        <v>221</v>
      </c>
      <c r="D1360" s="21" t="s">
        <v>642</v>
      </c>
      <c r="E1360" s="89"/>
      <c r="F1360" s="204"/>
      <c r="G1360" s="193"/>
      <c r="H1360" s="89"/>
      <c r="I1360" s="89"/>
      <c r="J1360" s="15">
        <v>23750000</v>
      </c>
      <c r="K1360" s="15">
        <v>23750000</v>
      </c>
      <c r="L1360" s="426"/>
      <c r="M1360" s="422"/>
      <c r="N1360" s="426"/>
      <c r="O1360" s="426"/>
      <c r="P1360" s="426"/>
      <c r="Q1360" s="426"/>
      <c r="R1360" s="426"/>
      <c r="S1360" s="426"/>
      <c r="T1360" s="426"/>
      <c r="U1360" s="426"/>
      <c r="V1360" s="426"/>
      <c r="W1360" s="426"/>
      <c r="X1360" s="426"/>
      <c r="Y1360" s="20">
        <v>100</v>
      </c>
      <c r="Z1360" s="98">
        <v>100</v>
      </c>
      <c r="AA1360" s="20">
        <v>23382500</v>
      </c>
      <c r="AB1360" s="98">
        <f t="shared" si="441"/>
        <v>98.452631578947376</v>
      </c>
      <c r="AC1360" s="181">
        <f t="shared" si="442"/>
        <v>23382500</v>
      </c>
      <c r="AD1360" s="98">
        <f t="shared" si="443"/>
        <v>98.452631578947376</v>
      </c>
    </row>
    <row r="1361" spans="2:31">
      <c r="B1361" s="13">
        <f t="shared" si="439"/>
        <v>10</v>
      </c>
      <c r="C1361" s="74" t="s">
        <v>600</v>
      </c>
      <c r="D1361" s="21" t="s">
        <v>643</v>
      </c>
      <c r="E1361" s="89"/>
      <c r="F1361" s="204"/>
      <c r="G1361" s="193"/>
      <c r="H1361" s="89"/>
      <c r="I1361" s="89"/>
      <c r="J1361" s="15">
        <v>15000000</v>
      </c>
      <c r="K1361" s="15">
        <v>15000000</v>
      </c>
      <c r="L1361" s="423"/>
      <c r="M1361" s="422"/>
      <c r="N1361" s="426"/>
      <c r="O1361" s="426"/>
      <c r="P1361" s="426"/>
      <c r="Q1361" s="426"/>
      <c r="R1361" s="426"/>
      <c r="S1361" s="426"/>
      <c r="T1361" s="426"/>
      <c r="U1361" s="426"/>
      <c r="V1361" s="426"/>
      <c r="W1361" s="426"/>
      <c r="X1361" s="426"/>
      <c r="Y1361" s="20">
        <v>100</v>
      </c>
      <c r="Z1361" s="98">
        <v>100</v>
      </c>
      <c r="AA1361" s="20">
        <v>15000000</v>
      </c>
      <c r="AB1361" s="98">
        <f t="shared" si="441"/>
        <v>100</v>
      </c>
      <c r="AC1361" s="181">
        <f t="shared" si="442"/>
        <v>15000000</v>
      </c>
      <c r="AD1361" s="98">
        <f t="shared" si="443"/>
        <v>100</v>
      </c>
    </row>
    <row r="1362" spans="2:31" ht="25.5">
      <c r="B1362" s="13">
        <f t="shared" si="439"/>
        <v>11</v>
      </c>
      <c r="C1362" s="74" t="s">
        <v>644</v>
      </c>
      <c r="D1362" s="21" t="s">
        <v>645</v>
      </c>
      <c r="E1362" s="89"/>
      <c r="F1362" s="204"/>
      <c r="G1362" s="193"/>
      <c r="H1362" s="89"/>
      <c r="I1362" s="89"/>
      <c r="J1362" s="15">
        <v>39490000</v>
      </c>
      <c r="K1362" s="15">
        <v>39490000</v>
      </c>
      <c r="L1362" s="426"/>
      <c r="M1362" s="422"/>
      <c r="N1362" s="426"/>
      <c r="O1362" s="426"/>
      <c r="P1362" s="426"/>
      <c r="Q1362" s="426"/>
      <c r="R1362" s="426"/>
      <c r="S1362" s="426"/>
      <c r="T1362" s="426"/>
      <c r="U1362" s="426"/>
      <c r="V1362" s="426"/>
      <c r="W1362" s="426"/>
      <c r="X1362" s="426"/>
      <c r="Y1362" s="20">
        <v>100</v>
      </c>
      <c r="Z1362" s="98">
        <v>100</v>
      </c>
      <c r="AA1362" s="20">
        <v>39065000</v>
      </c>
      <c r="AB1362" s="98">
        <f t="shared" si="441"/>
        <v>98.923778171689037</v>
      </c>
      <c r="AC1362" s="180">
        <f t="shared" si="442"/>
        <v>39065000</v>
      </c>
      <c r="AD1362" s="98">
        <f t="shared" si="443"/>
        <v>98.923778171689037</v>
      </c>
    </row>
    <row r="1363" spans="2:31">
      <c r="B1363" s="13">
        <f t="shared" si="439"/>
        <v>12</v>
      </c>
      <c r="C1363" s="74" t="s">
        <v>664</v>
      </c>
      <c r="D1363" s="21" t="s">
        <v>2146</v>
      </c>
      <c r="E1363" s="89"/>
      <c r="F1363" s="204"/>
      <c r="G1363" s="193"/>
      <c r="H1363" s="89"/>
      <c r="I1363" s="89"/>
      <c r="J1363" s="15"/>
      <c r="K1363" s="15">
        <v>598725000</v>
      </c>
      <c r="L1363" s="426"/>
      <c r="M1363" s="422"/>
      <c r="N1363" s="426"/>
      <c r="O1363" s="426"/>
      <c r="P1363" s="426"/>
      <c r="Q1363" s="426"/>
      <c r="R1363" s="426"/>
      <c r="S1363" s="426"/>
      <c r="T1363" s="426"/>
      <c r="U1363" s="426"/>
      <c r="V1363" s="426"/>
      <c r="W1363" s="426"/>
      <c r="X1363" s="426"/>
      <c r="Y1363" s="20">
        <v>100</v>
      </c>
      <c r="Z1363" s="98">
        <v>100</v>
      </c>
      <c r="AA1363" s="20">
        <v>578252000</v>
      </c>
      <c r="AB1363" s="98">
        <f t="shared" si="441"/>
        <v>96.580567038289701</v>
      </c>
      <c r="AC1363" s="180">
        <f t="shared" si="442"/>
        <v>578252000</v>
      </c>
      <c r="AD1363" s="98">
        <f t="shared" si="443"/>
        <v>96.580567038289701</v>
      </c>
    </row>
    <row r="1364" spans="2:31">
      <c r="B1364" s="13">
        <f>B1363+1</f>
        <v>13</v>
      </c>
      <c r="C1364" s="58" t="s">
        <v>602</v>
      </c>
      <c r="D1364" s="21" t="s">
        <v>646</v>
      </c>
      <c r="E1364" s="89"/>
      <c r="F1364" s="204"/>
      <c r="G1364" s="193"/>
      <c r="H1364" s="89"/>
      <c r="I1364" s="89"/>
      <c r="J1364" s="15">
        <v>499190000</v>
      </c>
      <c r="K1364" s="25">
        <v>5040000</v>
      </c>
      <c r="L1364" s="423"/>
      <c r="M1364" s="422"/>
      <c r="N1364" s="426"/>
      <c r="O1364" s="426"/>
      <c r="P1364" s="426"/>
      <c r="Q1364" s="426"/>
      <c r="R1364" s="426"/>
      <c r="S1364" s="426"/>
      <c r="T1364" s="426"/>
      <c r="U1364" s="426"/>
      <c r="V1364" s="426"/>
      <c r="W1364" s="426"/>
      <c r="X1364" s="426"/>
      <c r="Y1364" s="20">
        <v>100</v>
      </c>
      <c r="Z1364" s="98">
        <v>100</v>
      </c>
      <c r="AA1364" s="22">
        <v>2545000</v>
      </c>
      <c r="AB1364" s="98">
        <f t="shared" si="441"/>
        <v>50.496031746031747</v>
      </c>
      <c r="AC1364" s="181">
        <f t="shared" ref="AC1364:AC1369" si="444">AA1364</f>
        <v>2545000</v>
      </c>
      <c r="AD1364" s="98">
        <f t="shared" si="443"/>
        <v>50.496031746031747</v>
      </c>
    </row>
    <row r="1365" spans="2:31">
      <c r="B1365" s="13">
        <f t="shared" si="439"/>
        <v>14</v>
      </c>
      <c r="C1365" s="58" t="s">
        <v>604</v>
      </c>
      <c r="D1365" s="21" t="s">
        <v>647</v>
      </c>
      <c r="E1365" s="89"/>
      <c r="F1365" s="204"/>
      <c r="G1365" s="193"/>
      <c r="H1365" s="89"/>
      <c r="I1365" s="89"/>
      <c r="J1365" s="15">
        <v>20000000</v>
      </c>
      <c r="K1365" s="15">
        <v>20000000</v>
      </c>
      <c r="L1365" s="423"/>
      <c r="M1365" s="422"/>
      <c r="N1365" s="426"/>
      <c r="O1365" s="426"/>
      <c r="P1365" s="426"/>
      <c r="Q1365" s="426"/>
      <c r="R1365" s="426"/>
      <c r="S1365" s="426"/>
      <c r="T1365" s="426"/>
      <c r="U1365" s="426"/>
      <c r="V1365" s="426"/>
      <c r="W1365" s="426"/>
      <c r="X1365" s="426"/>
      <c r="Y1365" s="20">
        <v>100</v>
      </c>
      <c r="Z1365" s="98">
        <v>50.98</v>
      </c>
      <c r="AA1365" s="22">
        <v>10196500</v>
      </c>
      <c r="AB1365" s="98">
        <f t="shared" si="441"/>
        <v>50.982499999999995</v>
      </c>
      <c r="AC1365" s="181">
        <f t="shared" si="444"/>
        <v>10196500</v>
      </c>
      <c r="AD1365" s="98">
        <f t="shared" si="443"/>
        <v>50.982499999999995</v>
      </c>
    </row>
    <row r="1366" spans="2:31" ht="38.25">
      <c r="B1366" s="13">
        <f t="shared" si="439"/>
        <v>15</v>
      </c>
      <c r="C1366" s="58" t="s">
        <v>578</v>
      </c>
      <c r="D1366" s="21" t="s">
        <v>648</v>
      </c>
      <c r="E1366" s="89"/>
      <c r="F1366" s="204"/>
      <c r="G1366" s="193"/>
      <c r="H1366" s="89"/>
      <c r="I1366" s="89"/>
      <c r="J1366" s="15">
        <v>1575000000</v>
      </c>
      <c r="K1366" s="15">
        <v>1575000000</v>
      </c>
      <c r="L1366" s="423" t="s">
        <v>1896</v>
      </c>
      <c r="M1366" s="422">
        <v>1195000000</v>
      </c>
      <c r="N1366" s="427" t="s">
        <v>2137</v>
      </c>
      <c r="O1366" s="426" t="s">
        <v>2138</v>
      </c>
      <c r="P1366" s="426" t="s">
        <v>2139</v>
      </c>
      <c r="Q1366" s="426">
        <v>180</v>
      </c>
      <c r="R1366" s="426"/>
      <c r="S1366" s="426"/>
      <c r="T1366" s="426"/>
      <c r="U1366" s="426"/>
      <c r="V1366" s="426"/>
      <c r="W1366" s="426"/>
      <c r="X1366" s="426"/>
      <c r="Y1366" s="20">
        <v>100</v>
      </c>
      <c r="Z1366" s="98">
        <v>100</v>
      </c>
      <c r="AA1366" s="22">
        <v>1231942999</v>
      </c>
      <c r="AB1366" s="98">
        <f t="shared" si="441"/>
        <v>78.218603111111108</v>
      </c>
      <c r="AC1366" s="180">
        <f t="shared" si="444"/>
        <v>1231942999</v>
      </c>
      <c r="AD1366" s="98">
        <f t="shared" si="443"/>
        <v>78.218603111111108</v>
      </c>
    </row>
    <row r="1367" spans="2:31">
      <c r="B1367" s="13">
        <f t="shared" si="439"/>
        <v>16</v>
      </c>
      <c r="C1367" s="58" t="s">
        <v>568</v>
      </c>
      <c r="D1367" s="21" t="s">
        <v>649</v>
      </c>
      <c r="E1367" s="89"/>
      <c r="F1367" s="204"/>
      <c r="G1367" s="193"/>
      <c r="H1367" s="89"/>
      <c r="I1367" s="89"/>
      <c r="J1367" s="15">
        <v>16000000</v>
      </c>
      <c r="K1367" s="15">
        <v>16000000</v>
      </c>
      <c r="L1367" s="423"/>
      <c r="M1367" s="422"/>
      <c r="N1367" s="426"/>
      <c r="O1367" s="426"/>
      <c r="P1367" s="426"/>
      <c r="Q1367" s="426"/>
      <c r="R1367" s="426"/>
      <c r="S1367" s="426"/>
      <c r="T1367" s="426"/>
      <c r="U1367" s="426"/>
      <c r="V1367" s="426"/>
      <c r="W1367" s="426"/>
      <c r="X1367" s="426"/>
      <c r="Y1367" s="20">
        <v>100</v>
      </c>
      <c r="Z1367" s="98">
        <v>100</v>
      </c>
      <c r="AA1367" s="22">
        <v>12871688</v>
      </c>
      <c r="AB1367" s="98">
        <f t="shared" si="441"/>
        <v>80.448050000000009</v>
      </c>
      <c r="AC1367" s="181">
        <f t="shared" si="444"/>
        <v>12871688</v>
      </c>
      <c r="AD1367" s="98">
        <f t="shared" si="443"/>
        <v>80.448050000000009</v>
      </c>
    </row>
    <row r="1368" spans="2:31">
      <c r="B1368" s="13">
        <f t="shared" si="439"/>
        <v>17</v>
      </c>
      <c r="C1368" s="174">
        <v>15.016</v>
      </c>
      <c r="D1368" s="21" t="s">
        <v>2140</v>
      </c>
      <c r="E1368" s="89"/>
      <c r="F1368" s="204"/>
      <c r="G1368" s="193"/>
      <c r="H1368" s="89"/>
      <c r="I1368" s="89"/>
      <c r="J1368" s="15"/>
      <c r="K1368" s="15">
        <v>999400000</v>
      </c>
      <c r="L1368" s="423"/>
      <c r="M1368" s="422"/>
      <c r="N1368" s="426"/>
      <c r="O1368" s="426"/>
      <c r="P1368" s="426"/>
      <c r="Q1368" s="426"/>
      <c r="R1368" s="426"/>
      <c r="S1368" s="426"/>
      <c r="T1368" s="426"/>
      <c r="U1368" s="426"/>
      <c r="V1368" s="426"/>
      <c r="W1368" s="426"/>
      <c r="X1368" s="426"/>
      <c r="Y1368" s="20">
        <v>100</v>
      </c>
      <c r="Z1368" s="98">
        <v>100</v>
      </c>
      <c r="AA1368" s="22">
        <v>770826000</v>
      </c>
      <c r="AB1368" s="98">
        <f t="shared" si="441"/>
        <v>77.128877326395838</v>
      </c>
      <c r="AC1368" s="181">
        <f t="shared" si="444"/>
        <v>770826000</v>
      </c>
      <c r="AD1368" s="98">
        <f t="shared" si="443"/>
        <v>77.128877326395838</v>
      </c>
    </row>
    <row r="1369" spans="2:31">
      <c r="B1369" s="13">
        <f t="shared" si="439"/>
        <v>18</v>
      </c>
      <c r="C1369" s="174">
        <v>15.016999999999999</v>
      </c>
      <c r="D1369" s="21" t="s">
        <v>2141</v>
      </c>
      <c r="E1369" s="89"/>
      <c r="F1369" s="204"/>
      <c r="G1369" s="193"/>
      <c r="H1369" s="89"/>
      <c r="I1369" s="89"/>
      <c r="J1369" s="15"/>
      <c r="K1369" s="15">
        <v>50000000</v>
      </c>
      <c r="L1369" s="423"/>
      <c r="M1369" s="422"/>
      <c r="N1369" s="426"/>
      <c r="O1369" s="426"/>
      <c r="P1369" s="426"/>
      <c r="Q1369" s="426"/>
      <c r="R1369" s="426"/>
      <c r="S1369" s="426"/>
      <c r="T1369" s="426"/>
      <c r="U1369" s="426"/>
      <c r="V1369" s="426"/>
      <c r="W1369" s="426"/>
      <c r="X1369" s="426"/>
      <c r="Y1369" s="20">
        <v>100</v>
      </c>
      <c r="Z1369" s="98">
        <v>100</v>
      </c>
      <c r="AA1369" s="22">
        <v>49010000</v>
      </c>
      <c r="AB1369" s="98">
        <f t="shared" si="441"/>
        <v>98.02</v>
      </c>
      <c r="AC1369" s="181">
        <f t="shared" si="444"/>
        <v>49010000</v>
      </c>
      <c r="AD1369" s="98">
        <f t="shared" si="443"/>
        <v>98.02</v>
      </c>
    </row>
    <row r="1370" spans="2:31" ht="27">
      <c r="B1370" s="13"/>
      <c r="C1370" s="182" t="s">
        <v>650</v>
      </c>
      <c r="D1370" s="182" t="s">
        <v>651</v>
      </c>
      <c r="E1370" s="183"/>
      <c r="F1370" s="593"/>
      <c r="G1370" s="594"/>
      <c r="H1370" s="183"/>
      <c r="I1370" s="183"/>
      <c r="J1370" s="184"/>
      <c r="K1370" s="184"/>
      <c r="L1370" s="422"/>
      <c r="M1370" s="422"/>
      <c r="N1370" s="423"/>
      <c r="O1370" s="424"/>
      <c r="P1370" s="425"/>
      <c r="Q1370" s="422"/>
      <c r="R1370" s="422"/>
      <c r="S1370" s="422"/>
      <c r="T1370" s="422"/>
      <c r="U1370" s="422"/>
      <c r="V1370" s="422"/>
      <c r="W1370" s="422"/>
      <c r="X1370" s="422"/>
      <c r="Y1370" s="20"/>
      <c r="Z1370" s="98"/>
      <c r="AA1370" s="20"/>
      <c r="AB1370" s="98"/>
      <c r="AC1370" s="181">
        <f t="shared" si="442"/>
        <v>0</v>
      </c>
      <c r="AD1370" s="98"/>
    </row>
    <row r="1371" spans="2:31" ht="27">
      <c r="B1371" s="13">
        <v>19</v>
      </c>
      <c r="C1371" s="74" t="s">
        <v>375</v>
      </c>
      <c r="D1371" s="74" t="s">
        <v>652</v>
      </c>
      <c r="E1371" s="89"/>
      <c r="F1371" s="204"/>
      <c r="G1371" s="193"/>
      <c r="H1371" s="89"/>
      <c r="I1371" s="89"/>
      <c r="J1371" s="15">
        <v>120000000</v>
      </c>
      <c r="K1371" s="25">
        <v>267000000</v>
      </c>
      <c r="L1371" s="422" t="s">
        <v>2004</v>
      </c>
      <c r="M1371" s="422"/>
      <c r="N1371" s="426"/>
      <c r="O1371" s="428"/>
      <c r="P1371" s="428"/>
      <c r="Q1371" s="426"/>
      <c r="R1371" s="426"/>
      <c r="S1371" s="426"/>
      <c r="T1371" s="426"/>
      <c r="U1371" s="426"/>
      <c r="V1371" s="426"/>
      <c r="W1371" s="426"/>
      <c r="X1371" s="426"/>
      <c r="Y1371" s="20">
        <v>100</v>
      </c>
      <c r="Z1371" s="98">
        <v>100</v>
      </c>
      <c r="AA1371" s="20">
        <v>266978000</v>
      </c>
      <c r="AB1371" s="98">
        <f t="shared" si="441"/>
        <v>99.991760299625469</v>
      </c>
      <c r="AC1371" s="180">
        <f t="shared" si="442"/>
        <v>266978000</v>
      </c>
      <c r="AD1371" s="98">
        <f t="shared" si="443"/>
        <v>99.991760299625469</v>
      </c>
    </row>
    <row r="1372" spans="2:31">
      <c r="B1372" s="13">
        <f t="shared" ref="B1372:B1400" si="445">B1371+1</f>
        <v>20</v>
      </c>
      <c r="C1372" s="74" t="s">
        <v>377</v>
      </c>
      <c r="D1372" s="74" t="s">
        <v>653</v>
      </c>
      <c r="E1372" s="89"/>
      <c r="F1372" s="204"/>
      <c r="G1372" s="193"/>
      <c r="H1372" s="89"/>
      <c r="I1372" s="89"/>
      <c r="J1372" s="15">
        <v>90000000</v>
      </c>
      <c r="K1372" s="25">
        <v>140000000</v>
      </c>
      <c r="L1372" s="422"/>
      <c r="M1372" s="422"/>
      <c r="N1372" s="426"/>
      <c r="O1372" s="428"/>
      <c r="P1372" s="428"/>
      <c r="Q1372" s="426"/>
      <c r="R1372" s="426"/>
      <c r="S1372" s="426"/>
      <c r="T1372" s="426"/>
      <c r="U1372" s="426"/>
      <c r="V1372" s="426"/>
      <c r="W1372" s="426"/>
      <c r="X1372" s="426"/>
      <c r="Y1372" s="20">
        <v>100</v>
      </c>
      <c r="Z1372" s="98">
        <v>100</v>
      </c>
      <c r="AA1372" s="22">
        <v>138639000</v>
      </c>
      <c r="AB1372" s="98">
        <f t="shared" si="441"/>
        <v>99.027857142857144</v>
      </c>
      <c r="AC1372" s="181">
        <f t="shared" si="442"/>
        <v>138639000</v>
      </c>
      <c r="AD1372" s="98">
        <f t="shared" si="443"/>
        <v>99.027857142857144</v>
      </c>
    </row>
    <row r="1373" spans="2:31">
      <c r="B1373" s="13">
        <f>B1372+1</f>
        <v>21</v>
      </c>
      <c r="C1373" s="74" t="s">
        <v>614</v>
      </c>
      <c r="D1373" s="74" t="s">
        <v>654</v>
      </c>
      <c r="E1373" s="89"/>
      <c r="F1373" s="204"/>
      <c r="G1373" s="193"/>
      <c r="H1373" s="89"/>
      <c r="I1373" s="89"/>
      <c r="J1373" s="15">
        <v>497645000</v>
      </c>
      <c r="K1373" s="15">
        <v>497645000</v>
      </c>
      <c r="L1373" s="422"/>
      <c r="M1373" s="422"/>
      <c r="N1373" s="427"/>
      <c r="O1373" s="425"/>
      <c r="P1373" s="425"/>
      <c r="Q1373" s="423"/>
      <c r="R1373" s="423"/>
      <c r="S1373" s="423"/>
      <c r="T1373" s="423"/>
      <c r="U1373" s="423"/>
      <c r="V1373" s="423"/>
      <c r="W1373" s="423"/>
      <c r="X1373" s="423"/>
      <c r="Y1373" s="244">
        <v>100</v>
      </c>
      <c r="Z1373" s="718">
        <v>100</v>
      </c>
      <c r="AA1373" s="192">
        <v>456872450</v>
      </c>
      <c r="AB1373" s="718">
        <f t="shared" si="441"/>
        <v>91.806900501361412</v>
      </c>
      <c r="AC1373" s="825">
        <f t="shared" si="442"/>
        <v>456872450</v>
      </c>
      <c r="AD1373" s="718">
        <f t="shared" si="443"/>
        <v>91.806900501361412</v>
      </c>
    </row>
    <row r="1374" spans="2:31" ht="51">
      <c r="B1374" s="13"/>
      <c r="C1374" s="74"/>
      <c r="D1374" s="74" t="s">
        <v>2061</v>
      </c>
      <c r="E1374" s="89"/>
      <c r="F1374" s="204"/>
      <c r="G1374" s="193"/>
      <c r="H1374" s="89"/>
      <c r="I1374" s="89"/>
      <c r="J1374" s="15">
        <v>50000000</v>
      </c>
      <c r="K1374" s="15">
        <v>50000000</v>
      </c>
      <c r="L1374" s="422" t="s">
        <v>1894</v>
      </c>
      <c r="M1374" s="422">
        <v>48523000</v>
      </c>
      <c r="N1374" s="427" t="s">
        <v>1895</v>
      </c>
      <c r="O1374" s="425"/>
      <c r="P1374" s="425"/>
      <c r="Q1374" s="423"/>
      <c r="R1374" s="423"/>
      <c r="S1374" s="423"/>
      <c r="T1374" s="423"/>
      <c r="U1374" s="423"/>
      <c r="V1374" s="423"/>
      <c r="W1374" s="423"/>
      <c r="X1374" s="423"/>
      <c r="Y1374" s="20">
        <v>100</v>
      </c>
      <c r="Z1374" s="98">
        <v>100</v>
      </c>
      <c r="AA1374" s="22">
        <v>48523000</v>
      </c>
      <c r="AB1374" s="98">
        <f t="shared" si="441"/>
        <v>97.045999999999992</v>
      </c>
      <c r="AC1374" s="180">
        <f t="shared" si="442"/>
        <v>48523000</v>
      </c>
      <c r="AD1374" s="98">
        <f t="shared" si="443"/>
        <v>97.045999999999992</v>
      </c>
      <c r="AE1374" s="2" t="s">
        <v>1</v>
      </c>
    </row>
    <row r="1375" spans="2:31" ht="44.25" customHeight="1">
      <c r="B1375" s="13"/>
      <c r="C1375" s="74"/>
      <c r="D1375" s="74" t="s">
        <v>1896</v>
      </c>
      <c r="E1375" s="89"/>
      <c r="F1375" s="204"/>
      <c r="G1375" s="193"/>
      <c r="H1375" s="89"/>
      <c r="I1375" s="89"/>
      <c r="J1375" s="15">
        <v>437230000</v>
      </c>
      <c r="K1375" s="15">
        <v>437230000</v>
      </c>
      <c r="L1375" s="422" t="s">
        <v>1896</v>
      </c>
      <c r="M1375" s="422">
        <v>422231000</v>
      </c>
      <c r="N1375" s="427" t="s">
        <v>2072</v>
      </c>
      <c r="O1375" s="425"/>
      <c r="P1375" s="425"/>
      <c r="Q1375" s="423"/>
      <c r="R1375" s="423"/>
      <c r="S1375" s="423"/>
      <c r="T1375" s="423"/>
      <c r="U1375" s="423"/>
      <c r="V1375" s="423"/>
      <c r="W1375" s="423"/>
      <c r="X1375" s="423"/>
      <c r="Y1375" s="20">
        <v>100</v>
      </c>
      <c r="Z1375" s="98">
        <v>100</v>
      </c>
      <c r="AA1375" s="22">
        <v>401119450</v>
      </c>
      <c r="AB1375" s="98">
        <f t="shared" si="441"/>
        <v>91.741063056057442</v>
      </c>
      <c r="AC1375" s="180">
        <f t="shared" si="442"/>
        <v>401119450</v>
      </c>
      <c r="AD1375" s="98">
        <f t="shared" si="443"/>
        <v>91.741063056057442</v>
      </c>
    </row>
    <row r="1376" spans="2:31" ht="25.5">
      <c r="B1376" s="13"/>
      <c r="C1376" s="74"/>
      <c r="D1376" s="74" t="s">
        <v>1897</v>
      </c>
      <c r="E1376" s="89"/>
      <c r="F1376" s="204"/>
      <c r="G1376" s="193"/>
      <c r="H1376" s="89"/>
      <c r="I1376" s="89"/>
      <c r="J1376" s="15">
        <v>10415000</v>
      </c>
      <c r="K1376" s="15">
        <v>10415000</v>
      </c>
      <c r="L1376" s="636" t="s">
        <v>1897</v>
      </c>
      <c r="M1376" s="422"/>
      <c r="N1376" s="427"/>
      <c r="O1376" s="425"/>
      <c r="P1376" s="425"/>
      <c r="Q1376" s="423"/>
      <c r="R1376" s="423"/>
      <c r="S1376" s="423"/>
      <c r="T1376" s="423"/>
      <c r="U1376" s="423"/>
      <c r="V1376" s="423"/>
      <c r="W1376" s="423"/>
      <c r="X1376" s="423"/>
      <c r="Y1376" s="20">
        <v>100</v>
      </c>
      <c r="Z1376" s="98">
        <v>100</v>
      </c>
      <c r="AA1376" s="22">
        <f>585000+825000+4995000</f>
        <v>6405000</v>
      </c>
      <c r="AB1376" s="98">
        <f t="shared" si="441"/>
        <v>61.497839654344702</v>
      </c>
      <c r="AC1376" s="181"/>
      <c r="AD1376" s="98">
        <f t="shared" si="443"/>
        <v>0</v>
      </c>
    </row>
    <row r="1377" spans="2:30">
      <c r="B1377" s="13">
        <f>B1373+1</f>
        <v>22</v>
      </c>
      <c r="C1377" s="74" t="s">
        <v>655</v>
      </c>
      <c r="D1377" s="74" t="s">
        <v>656</v>
      </c>
      <c r="E1377" s="89"/>
      <c r="F1377" s="204"/>
      <c r="G1377" s="193"/>
      <c r="H1377" s="89"/>
      <c r="I1377" s="89"/>
      <c r="J1377" s="15">
        <v>20000000</v>
      </c>
      <c r="K1377" s="15">
        <v>20000000</v>
      </c>
      <c r="L1377" s="422"/>
      <c r="M1377" s="422"/>
      <c r="N1377" s="426"/>
      <c r="O1377" s="424"/>
      <c r="P1377" s="425"/>
      <c r="Q1377" s="422"/>
      <c r="R1377" s="422"/>
      <c r="S1377" s="422"/>
      <c r="T1377" s="422"/>
      <c r="U1377" s="422"/>
      <c r="V1377" s="422"/>
      <c r="W1377" s="422"/>
      <c r="X1377" s="422"/>
      <c r="Y1377" s="20">
        <v>100</v>
      </c>
      <c r="Z1377" s="98">
        <v>100</v>
      </c>
      <c r="AA1377" s="20">
        <v>19440000</v>
      </c>
      <c r="AB1377" s="98">
        <f t="shared" si="441"/>
        <v>97.2</v>
      </c>
      <c r="AC1377" s="181">
        <f t="shared" si="442"/>
        <v>19440000</v>
      </c>
      <c r="AD1377" s="98">
        <f t="shared" si="443"/>
        <v>97.2</v>
      </c>
    </row>
    <row r="1378" spans="2:30">
      <c r="B1378" s="13">
        <f t="shared" si="445"/>
        <v>23</v>
      </c>
      <c r="C1378" s="74" t="s">
        <v>617</v>
      </c>
      <c r="D1378" s="74" t="s">
        <v>657</v>
      </c>
      <c r="E1378" s="89"/>
      <c r="F1378" s="204"/>
      <c r="G1378" s="193"/>
      <c r="H1378" s="89"/>
      <c r="I1378" s="89"/>
      <c r="J1378" s="15">
        <v>80000000</v>
      </c>
      <c r="K1378" s="15">
        <v>80000000</v>
      </c>
      <c r="L1378" s="429"/>
      <c r="M1378" s="429"/>
      <c r="N1378" s="426"/>
      <c r="O1378" s="430"/>
      <c r="P1378" s="431"/>
      <c r="Q1378" s="426"/>
      <c r="R1378" s="426"/>
      <c r="S1378" s="426"/>
      <c r="T1378" s="426"/>
      <c r="U1378" s="426"/>
      <c r="V1378" s="426"/>
      <c r="W1378" s="426"/>
      <c r="X1378" s="426"/>
      <c r="Y1378" s="20">
        <v>100</v>
      </c>
      <c r="Z1378" s="98">
        <v>100</v>
      </c>
      <c r="AA1378" s="20">
        <v>80000000</v>
      </c>
      <c r="AB1378" s="98">
        <f t="shared" si="441"/>
        <v>100</v>
      </c>
      <c r="AC1378" s="181">
        <f t="shared" si="442"/>
        <v>80000000</v>
      </c>
      <c r="AD1378" s="98">
        <f t="shared" si="443"/>
        <v>100</v>
      </c>
    </row>
    <row r="1379" spans="2:30" ht="51">
      <c r="B1379" s="13">
        <f t="shared" si="445"/>
        <v>24</v>
      </c>
      <c r="C1379" s="81">
        <v>16.013000000000002</v>
      </c>
      <c r="D1379" s="74" t="s">
        <v>2142</v>
      </c>
      <c r="E1379" s="89"/>
      <c r="F1379" s="204"/>
      <c r="G1379" s="193"/>
      <c r="H1379" s="89"/>
      <c r="I1379" s="89"/>
      <c r="J1379" s="15"/>
      <c r="K1379" s="15">
        <v>185000000</v>
      </c>
      <c r="L1379" s="429" t="s">
        <v>2004</v>
      </c>
      <c r="M1379" s="429">
        <v>179863000</v>
      </c>
      <c r="N1379" s="711" t="s">
        <v>1895</v>
      </c>
      <c r="O1379" s="712" t="s">
        <v>2144</v>
      </c>
      <c r="P1379" s="713" t="s">
        <v>2145</v>
      </c>
      <c r="Q1379" s="426"/>
      <c r="R1379" s="426"/>
      <c r="S1379" s="426"/>
      <c r="T1379" s="426"/>
      <c r="U1379" s="426"/>
      <c r="V1379" s="426"/>
      <c r="W1379" s="426"/>
      <c r="X1379" s="426"/>
      <c r="Y1379" s="20">
        <v>100</v>
      </c>
      <c r="Z1379" s="98">
        <v>100</v>
      </c>
      <c r="AA1379" s="20">
        <v>181243000</v>
      </c>
      <c r="AB1379" s="98">
        <f t="shared" si="441"/>
        <v>97.969189189189194</v>
      </c>
      <c r="AC1379" s="181">
        <f t="shared" si="442"/>
        <v>181243000</v>
      </c>
      <c r="AD1379" s="98">
        <f t="shared" si="443"/>
        <v>97.969189189189194</v>
      </c>
    </row>
    <row r="1380" spans="2:30">
      <c r="B1380" s="13">
        <f t="shared" si="445"/>
        <v>25</v>
      </c>
      <c r="C1380" s="81">
        <v>16.013999999999999</v>
      </c>
      <c r="D1380" s="74" t="s">
        <v>2143</v>
      </c>
      <c r="E1380" s="89"/>
      <c r="F1380" s="204"/>
      <c r="G1380" s="193"/>
      <c r="H1380" s="89"/>
      <c r="I1380" s="89"/>
      <c r="J1380" s="15"/>
      <c r="K1380" s="15">
        <v>14460000</v>
      </c>
      <c r="L1380" s="429"/>
      <c r="M1380" s="429"/>
      <c r="N1380" s="710"/>
      <c r="O1380" s="430"/>
      <c r="P1380" s="431"/>
      <c r="Q1380" s="426"/>
      <c r="R1380" s="426"/>
      <c r="S1380" s="426"/>
      <c r="T1380" s="426"/>
      <c r="U1380" s="426"/>
      <c r="V1380" s="426"/>
      <c r="W1380" s="426"/>
      <c r="X1380" s="426"/>
      <c r="Y1380" s="20">
        <v>100</v>
      </c>
      <c r="Z1380" s="98">
        <v>100</v>
      </c>
      <c r="AA1380" s="20">
        <v>8430000</v>
      </c>
      <c r="AB1380" s="98">
        <f t="shared" si="441"/>
        <v>58.298755186721998</v>
      </c>
      <c r="AC1380" s="181">
        <f t="shared" si="442"/>
        <v>8430000</v>
      </c>
      <c r="AD1380" s="98">
        <f t="shared" si="443"/>
        <v>58.298755186721998</v>
      </c>
    </row>
    <row r="1381" spans="2:30" ht="27">
      <c r="B1381" s="13"/>
      <c r="C1381" s="86" t="s">
        <v>658</v>
      </c>
      <c r="D1381" s="86" t="s">
        <v>659</v>
      </c>
      <c r="E1381" s="87"/>
      <c r="F1381" s="485"/>
      <c r="G1381" s="441"/>
      <c r="H1381" s="87"/>
      <c r="I1381" s="87"/>
      <c r="J1381" s="130"/>
      <c r="K1381" s="130"/>
      <c r="L1381" s="422"/>
      <c r="M1381" s="422"/>
      <c r="N1381" s="409"/>
      <c r="O1381" s="426"/>
      <c r="P1381" s="426"/>
      <c r="Q1381" s="426"/>
      <c r="R1381" s="426"/>
      <c r="S1381" s="426"/>
      <c r="T1381" s="426"/>
      <c r="U1381" s="426"/>
      <c r="V1381" s="426"/>
      <c r="W1381" s="426"/>
      <c r="X1381" s="426"/>
      <c r="Y1381" s="20"/>
      <c r="Z1381" s="98"/>
      <c r="AA1381" s="149"/>
      <c r="AB1381" s="98"/>
      <c r="AC1381" s="181"/>
      <c r="AD1381" s="98"/>
    </row>
    <row r="1382" spans="2:30">
      <c r="B1382" s="13">
        <f>B1380+1</f>
        <v>26</v>
      </c>
      <c r="C1382" s="74" t="s">
        <v>219</v>
      </c>
      <c r="D1382" s="74" t="s">
        <v>660</v>
      </c>
      <c r="E1382" s="89"/>
      <c r="F1382" s="204"/>
      <c r="G1382" s="193"/>
      <c r="H1382" s="89"/>
      <c r="I1382" s="89"/>
      <c r="J1382" s="15">
        <v>38700000</v>
      </c>
      <c r="K1382" s="25">
        <v>38700000</v>
      </c>
      <c r="L1382" s="422"/>
      <c r="M1382" s="422"/>
      <c r="N1382" s="409"/>
      <c r="O1382" s="426"/>
      <c r="P1382" s="426"/>
      <c r="Q1382" s="426"/>
      <c r="R1382" s="426"/>
      <c r="S1382" s="426"/>
      <c r="T1382" s="426"/>
      <c r="U1382" s="426"/>
      <c r="V1382" s="426"/>
      <c r="W1382" s="426"/>
      <c r="X1382" s="426"/>
      <c r="Y1382" s="20">
        <v>100</v>
      </c>
      <c r="Z1382" s="98">
        <v>100</v>
      </c>
      <c r="AA1382" s="77">
        <v>38425500</v>
      </c>
      <c r="AB1382" s="98">
        <f t="shared" si="441"/>
        <v>99.29069767441861</v>
      </c>
      <c r="AC1382" s="181">
        <f t="shared" si="442"/>
        <v>38425500</v>
      </c>
      <c r="AD1382" s="98">
        <f t="shared" si="443"/>
        <v>99.29069767441861</v>
      </c>
    </row>
    <row r="1383" spans="2:30" ht="27">
      <c r="B1383" s="13">
        <f t="shared" si="445"/>
        <v>27</v>
      </c>
      <c r="C1383" s="74" t="s">
        <v>221</v>
      </c>
      <c r="D1383" s="74" t="s">
        <v>661</v>
      </c>
      <c r="E1383" s="89"/>
      <c r="F1383" s="204"/>
      <c r="G1383" s="193"/>
      <c r="H1383" s="89"/>
      <c r="I1383" s="89"/>
      <c r="J1383" s="15">
        <v>292800000</v>
      </c>
      <c r="K1383" s="25">
        <v>317800000</v>
      </c>
      <c r="L1383" s="13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20">
        <v>100</v>
      </c>
      <c r="Z1383" s="98">
        <v>100</v>
      </c>
      <c r="AA1383" s="22">
        <v>316331500</v>
      </c>
      <c r="AB1383" s="98">
        <f t="shared" si="441"/>
        <v>99.537916928886091</v>
      </c>
      <c r="AC1383" s="180">
        <f t="shared" si="442"/>
        <v>316331500</v>
      </c>
      <c r="AD1383" s="98">
        <f t="shared" si="443"/>
        <v>99.537916928886091</v>
      </c>
    </row>
    <row r="1384" spans="2:30" ht="27">
      <c r="B1384" s="13">
        <f t="shared" si="445"/>
        <v>28</v>
      </c>
      <c r="C1384" s="74" t="s">
        <v>600</v>
      </c>
      <c r="D1384" s="74" t="s">
        <v>662</v>
      </c>
      <c r="E1384" s="89"/>
      <c r="F1384" s="204"/>
      <c r="G1384" s="193"/>
      <c r="H1384" s="89"/>
      <c r="I1384" s="89"/>
      <c r="J1384" s="15">
        <v>15000000</v>
      </c>
      <c r="K1384" s="25">
        <v>15000000</v>
      </c>
      <c r="L1384" s="13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20">
        <v>100</v>
      </c>
      <c r="Z1384" s="98">
        <v>100</v>
      </c>
      <c r="AA1384" s="20">
        <v>11259650</v>
      </c>
      <c r="AB1384" s="98">
        <f t="shared" si="441"/>
        <v>75.064333333333337</v>
      </c>
      <c r="AC1384" s="180">
        <f t="shared" si="442"/>
        <v>11259650</v>
      </c>
      <c r="AD1384" s="98">
        <f t="shared" si="443"/>
        <v>75.064333333333337</v>
      </c>
    </row>
    <row r="1385" spans="2:30" ht="27">
      <c r="B1385" s="13">
        <f t="shared" si="445"/>
        <v>29</v>
      </c>
      <c r="C1385" s="74" t="s">
        <v>564</v>
      </c>
      <c r="D1385" s="74" t="s">
        <v>663</v>
      </c>
      <c r="E1385" s="89"/>
      <c r="F1385" s="204"/>
      <c r="G1385" s="193"/>
      <c r="H1385" s="89"/>
      <c r="I1385" s="89"/>
      <c r="J1385" s="15">
        <v>40000000</v>
      </c>
      <c r="K1385" s="25">
        <v>40000000</v>
      </c>
      <c r="L1385" s="13"/>
      <c r="M1385" s="17"/>
      <c r="N1385" s="17"/>
      <c r="O1385" s="17"/>
      <c r="Q1385" s="17"/>
      <c r="R1385" s="17"/>
      <c r="S1385" s="17"/>
      <c r="T1385" s="17"/>
      <c r="U1385" s="17"/>
      <c r="V1385" s="17"/>
      <c r="W1385" s="17"/>
      <c r="X1385" s="17"/>
      <c r="Y1385" s="20">
        <v>100</v>
      </c>
      <c r="Z1385" s="98">
        <v>100</v>
      </c>
      <c r="AA1385" s="20">
        <v>38361500</v>
      </c>
      <c r="AB1385" s="98">
        <f t="shared" si="441"/>
        <v>95.903750000000002</v>
      </c>
      <c r="AC1385" s="180">
        <f t="shared" si="442"/>
        <v>38361500</v>
      </c>
      <c r="AD1385" s="98">
        <f t="shared" si="443"/>
        <v>95.903750000000002</v>
      </c>
    </row>
    <row r="1386" spans="2:30">
      <c r="B1386" s="13">
        <f t="shared" si="445"/>
        <v>30</v>
      </c>
      <c r="C1386" s="74" t="s">
        <v>644</v>
      </c>
      <c r="D1386" s="74" t="s">
        <v>2132</v>
      </c>
      <c r="E1386" s="89"/>
      <c r="F1386" s="204"/>
      <c r="G1386" s="193"/>
      <c r="H1386" s="89"/>
      <c r="I1386" s="89"/>
      <c r="J1386" s="15"/>
      <c r="K1386" s="25">
        <v>180000000</v>
      </c>
      <c r="L1386" s="13" t="s">
        <v>2004</v>
      </c>
      <c r="M1386" s="22">
        <v>180000000</v>
      </c>
      <c r="N1386" s="17"/>
      <c r="O1386" s="17"/>
      <c r="Q1386" s="17"/>
      <c r="R1386" s="17"/>
      <c r="S1386" s="17"/>
      <c r="T1386" s="17"/>
      <c r="U1386" s="17"/>
      <c r="V1386" s="17"/>
      <c r="W1386" s="17"/>
      <c r="X1386" s="17"/>
      <c r="Y1386" s="20">
        <v>100</v>
      </c>
      <c r="Z1386" s="98">
        <v>100</v>
      </c>
      <c r="AA1386" s="20">
        <v>178715000</v>
      </c>
      <c r="AB1386" s="98">
        <f t="shared" si="441"/>
        <v>99.286111111111111</v>
      </c>
      <c r="AC1386" s="180">
        <f t="shared" si="442"/>
        <v>178715000</v>
      </c>
      <c r="AD1386" s="98">
        <f t="shared" si="443"/>
        <v>99.286111111111111</v>
      </c>
    </row>
    <row r="1387" spans="2:30" ht="19.5" customHeight="1">
      <c r="B1387" s="13">
        <f t="shared" si="445"/>
        <v>31</v>
      </c>
      <c r="C1387" s="74" t="s">
        <v>664</v>
      </c>
      <c r="D1387" s="74" t="s">
        <v>665</v>
      </c>
      <c r="E1387" s="89"/>
      <c r="F1387" s="204"/>
      <c r="G1387" s="193"/>
      <c r="H1387" s="89"/>
      <c r="I1387" s="89"/>
      <c r="J1387" s="15">
        <v>10000000</v>
      </c>
      <c r="K1387" s="25">
        <v>10000000</v>
      </c>
      <c r="L1387" s="13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20">
        <v>100</v>
      </c>
      <c r="Z1387" s="98">
        <v>100</v>
      </c>
      <c r="AA1387" s="20">
        <v>9897000</v>
      </c>
      <c r="AB1387" s="98">
        <f t="shared" si="441"/>
        <v>98.97</v>
      </c>
      <c r="AC1387" s="181">
        <f t="shared" si="442"/>
        <v>9897000</v>
      </c>
      <c r="AD1387" s="98">
        <f t="shared" si="443"/>
        <v>98.97</v>
      </c>
    </row>
    <row r="1388" spans="2:30" ht="18" customHeight="1">
      <c r="B1388" s="13">
        <f t="shared" si="445"/>
        <v>32</v>
      </c>
      <c r="C1388" s="74" t="s">
        <v>666</v>
      </c>
      <c r="D1388" s="185" t="s">
        <v>667</v>
      </c>
      <c r="E1388" s="89"/>
      <c r="F1388" s="204"/>
      <c r="G1388" s="193"/>
      <c r="H1388" s="89"/>
      <c r="I1388" s="89"/>
      <c r="J1388" s="15">
        <v>143100000</v>
      </c>
      <c r="K1388" s="25">
        <v>143100000</v>
      </c>
      <c r="L1388" s="432" t="s">
        <v>1913</v>
      </c>
      <c r="M1388" s="433">
        <v>60950000</v>
      </c>
      <c r="N1388" s="433"/>
      <c r="O1388" s="434"/>
      <c r="P1388" s="434"/>
      <c r="Q1388" s="433"/>
      <c r="R1388" s="433"/>
      <c r="S1388" s="433"/>
      <c r="T1388" s="433"/>
      <c r="U1388" s="433"/>
      <c r="V1388" s="433"/>
      <c r="W1388" s="433"/>
      <c r="X1388" s="433"/>
      <c r="Y1388" s="20">
        <v>100</v>
      </c>
      <c r="Z1388" s="98">
        <v>100</v>
      </c>
      <c r="AA1388" s="20">
        <v>133845422</v>
      </c>
      <c r="AB1388" s="98">
        <f t="shared" si="441"/>
        <v>93.5327896575821</v>
      </c>
      <c r="AC1388" s="181">
        <f t="shared" si="442"/>
        <v>133845422</v>
      </c>
      <c r="AD1388" s="98">
        <f t="shared" si="443"/>
        <v>93.5327896575821</v>
      </c>
    </row>
    <row r="1389" spans="2:30" ht="18" customHeight="1">
      <c r="B1389" s="13">
        <f t="shared" si="445"/>
        <v>33</v>
      </c>
      <c r="C1389" s="81">
        <v>15.009</v>
      </c>
      <c r="D1389" s="705" t="s">
        <v>2133</v>
      </c>
      <c r="E1389" s="186"/>
      <c r="F1389" s="489"/>
      <c r="G1389" s="240"/>
      <c r="H1389" s="186"/>
      <c r="I1389" s="186"/>
      <c r="J1389" s="15"/>
      <c r="K1389" s="40">
        <v>50000000</v>
      </c>
      <c r="L1389" s="435"/>
      <c r="M1389" s="436"/>
      <c r="N1389" s="436"/>
      <c r="O1389" s="437"/>
      <c r="P1389" s="437"/>
      <c r="Q1389" s="436"/>
      <c r="R1389" s="436"/>
      <c r="S1389" s="436"/>
      <c r="T1389" s="436"/>
      <c r="U1389" s="436"/>
      <c r="V1389" s="436"/>
      <c r="W1389" s="436"/>
      <c r="X1389" s="436"/>
      <c r="Y1389" s="20">
        <v>100</v>
      </c>
      <c r="Z1389" s="101">
        <v>100</v>
      </c>
      <c r="AA1389" s="100">
        <v>49200000</v>
      </c>
      <c r="AB1389" s="98">
        <f t="shared" si="441"/>
        <v>98.4</v>
      </c>
      <c r="AC1389" s="187">
        <f t="shared" si="442"/>
        <v>49200000</v>
      </c>
      <c r="AD1389" s="98">
        <f t="shared" si="443"/>
        <v>98.4</v>
      </c>
    </row>
    <row r="1390" spans="2:30">
      <c r="B1390" s="13">
        <f t="shared" si="445"/>
        <v>34</v>
      </c>
      <c r="C1390" s="58" t="s">
        <v>578</v>
      </c>
      <c r="D1390" s="58" t="s">
        <v>668</v>
      </c>
      <c r="E1390" s="186"/>
      <c r="F1390" s="489"/>
      <c r="G1390" s="240"/>
      <c r="H1390" s="186"/>
      <c r="I1390" s="186"/>
      <c r="J1390" s="15">
        <v>86400000</v>
      </c>
      <c r="K1390" s="15">
        <v>86400000</v>
      </c>
      <c r="L1390" s="435"/>
      <c r="M1390" s="436"/>
      <c r="N1390" s="436"/>
      <c r="O1390" s="437"/>
      <c r="P1390" s="437"/>
      <c r="Q1390" s="436"/>
      <c r="R1390" s="436"/>
      <c r="S1390" s="436"/>
      <c r="T1390" s="436"/>
      <c r="U1390" s="436"/>
      <c r="V1390" s="436"/>
      <c r="W1390" s="436"/>
      <c r="X1390" s="436"/>
      <c r="Y1390" s="20">
        <v>100</v>
      </c>
      <c r="Z1390" s="101">
        <v>100</v>
      </c>
      <c r="AA1390" s="100">
        <v>86336000</v>
      </c>
      <c r="AB1390" s="98">
        <f t="shared" si="441"/>
        <v>99.925925925925924</v>
      </c>
      <c r="AC1390" s="187">
        <f t="shared" si="442"/>
        <v>86336000</v>
      </c>
      <c r="AD1390" s="98">
        <f t="shared" si="443"/>
        <v>99.925925925925924</v>
      </c>
    </row>
    <row r="1391" spans="2:30">
      <c r="B1391" s="13">
        <f t="shared" si="445"/>
        <v>35</v>
      </c>
      <c r="C1391" s="316" t="s">
        <v>568</v>
      </c>
      <c r="D1391" s="316" t="s">
        <v>2134</v>
      </c>
      <c r="E1391" s="105"/>
      <c r="F1391" s="347"/>
      <c r="G1391" s="498"/>
      <c r="H1391" s="105"/>
      <c r="I1391" s="105"/>
      <c r="J1391" s="598"/>
      <c r="K1391" s="598">
        <v>56900000</v>
      </c>
      <c r="L1391" s="706"/>
      <c r="M1391" s="707"/>
      <c r="N1391" s="707"/>
      <c r="O1391" s="708"/>
      <c r="P1391" s="708"/>
      <c r="Q1391" s="707"/>
      <c r="R1391" s="707"/>
      <c r="S1391" s="707"/>
      <c r="T1391" s="707"/>
      <c r="U1391" s="707"/>
      <c r="V1391" s="707"/>
      <c r="W1391" s="707"/>
      <c r="X1391" s="707"/>
      <c r="Y1391" s="239">
        <v>100</v>
      </c>
      <c r="Z1391" s="207">
        <v>95</v>
      </c>
      <c r="AA1391" s="239">
        <v>48108000</v>
      </c>
      <c r="AB1391" s="98">
        <f t="shared" si="441"/>
        <v>84.548330404217936</v>
      </c>
      <c r="AC1391" s="709">
        <f t="shared" si="442"/>
        <v>48108000</v>
      </c>
      <c r="AD1391" s="98">
        <f t="shared" si="443"/>
        <v>84.548330404217936</v>
      </c>
    </row>
    <row r="1392" spans="2:30" ht="20.25" customHeight="1">
      <c r="B1392" s="37">
        <v>121</v>
      </c>
      <c r="C1392" s="855" t="s">
        <v>669</v>
      </c>
      <c r="D1392" s="855"/>
      <c r="E1392" s="483"/>
      <c r="F1392" s="483">
        <v>35</v>
      </c>
      <c r="G1392" s="468"/>
      <c r="H1392" s="483"/>
      <c r="I1392" s="468"/>
      <c r="J1392" s="315">
        <f>(J1351+J1352+J1353+J1354+J1355+J1356+J1357+J1359+J1360+J1361+J1362+J1364+J1365+J1366+J1367+J1371+J1372+J1373+J1377+J1378+J1382+J1383+J1384+J1385+J1387+J1388+J1390)</f>
        <v>4844116000</v>
      </c>
      <c r="K1392" s="315">
        <f>SUM(K1351+K1352+K1353+K1354+K1355+K1356+K1357+K1359+K1360+K1361+K1362+K1363+K1364+K1365+K1366+K1367+K1368+K1369+K1371+K1372+K1373+K1377+K1378+K1379+K1380+K1382+K1383+K1384+K1385+K1386+K1387+K1388+K1389+K1390+K1391)</f>
        <v>7508107000</v>
      </c>
      <c r="L1392" s="117"/>
      <c r="M1392" s="311"/>
      <c r="N1392" s="311"/>
      <c r="O1392" s="311"/>
      <c r="P1392" s="311"/>
      <c r="Q1392" s="311"/>
      <c r="R1392" s="311"/>
      <c r="S1392" s="311"/>
      <c r="T1392" s="311">
        <v>3</v>
      </c>
      <c r="U1392" s="311">
        <v>1</v>
      </c>
      <c r="V1392" s="311"/>
      <c r="W1392" s="311">
        <v>1</v>
      </c>
      <c r="X1392" s="311">
        <v>1</v>
      </c>
      <c r="Y1392" s="315">
        <f>SUM(Y1351+Y1352+Y1393+Y1353+Y1354+Y1355+Y1356+Y1357+Y1359+Y1360+Y1361+Y1362+Y1363+Y1364+Y1365+Y1366+Y1367+Y1368+Y1369+Y1371+Y1372+Y1373+Y1377+Y1378+Y1379+Y1380+Y1382+Y1383+Y1384+Y1385+Y1386+Y1387+Y1388+Y1389+Y1390+Y1391)/35</f>
        <v>100</v>
      </c>
      <c r="Z1392" s="714">
        <f>SUM(Z1351+Z1352+Z1393+Z1353+Z1354+Z1355+Z1356+Z1357+Z1359+Z1360+Z1361+Z1362+Z1363+Z1364+Z1365+Z1366+Z1367+Z1368+Z1369+Z1371+Z1372+Z1373+Z1377+Z1378+Z1379+Z1380+Z1382+Z1383+Z1384+Z1385+Z1386+Z1387+Z1388+Z1389+Z1390+Z1391)/35</f>
        <v>98.456571428571422</v>
      </c>
      <c r="AA1392" s="189">
        <f>SUM(AA1351+AA1352+AA1353+AA1354+AA1355+AA1356+AA1357+AA1359+AA1360+AA1361+AA1362+AA1364+AA1365+AA1366+AA1367+AA1371+AA1372+AA1373+AA1377+AA1378+AA1382+AA1383+AA1384+AA1385+AA1387+AA1388+AA1390)</f>
        <v>4855604592</v>
      </c>
      <c r="AB1392" s="714">
        <f>SUM(AB1351+AB1352+AB1393+AB1353+AB1354+AB1355+AB1356+AB1357+AB1359+AB1360+AB1361+AB1362+AB1363+AB1364+AB1365+AB1366+AB1367+AB1368+AB1369+AB1371+AB1372+AB1373+AB1377+AB1378+AB1379+AB1380+AB1382+AB1383+AB1384+AB1385+AB1386+AB1387+AB1388+AB1389+AB1390+AB1391)/35</f>
        <v>90.317439396710313</v>
      </c>
      <c r="AC1392" s="189">
        <f>SUM(AC1351+AC1352+AC1353+AC1354+AC1355+AC1356+AC1357+AC1359+AC1360+AC1361+AC1362+AC1364+AC1365+AC1366+AC1367+AC1371+AC1372+AC1373+AC1377+AC1378+AC1382+AC1383+AC1384+AC1385+AC1387+AC1388+AC1390)</f>
        <v>4855604592</v>
      </c>
      <c r="AD1392" s="714">
        <f>SUM(AD1351+AD1352+AD1393+AD1353+AD1354+AD1355+AD1356+AD1357+AD1359+AD1360+AD1361+AD1362+AD1363+AD1364+AD1365+AD1366+AD1367+AD1368+AD1369+AD1371+AD1372+AD1373+AD1377+AD1378+AD1379+AD1380+AD1382+AD1383+AD1384+AD1385+AD1386+AD1387+AD1388+AD1389+AD1390+AD1391)/35</f>
        <v>90.317439396710313</v>
      </c>
    </row>
    <row r="1393" spans="2:30">
      <c r="B1393" s="66"/>
      <c r="C1393" s="63" t="s">
        <v>670</v>
      </c>
      <c r="D1393" s="118" t="s">
        <v>671</v>
      </c>
      <c r="E1393" s="484"/>
      <c r="F1393" s="484"/>
      <c r="G1393" s="472"/>
      <c r="H1393" s="484"/>
      <c r="I1393" s="472"/>
      <c r="J1393" s="127"/>
      <c r="K1393" s="127"/>
      <c r="L1393" s="66"/>
      <c r="M1393" s="137"/>
      <c r="N1393" s="63"/>
      <c r="O1393" s="63"/>
      <c r="P1393" s="63"/>
      <c r="Q1393" s="63"/>
      <c r="R1393" s="105"/>
      <c r="S1393" s="105"/>
      <c r="T1393" s="105"/>
      <c r="U1393" s="105"/>
      <c r="V1393" s="105"/>
      <c r="W1393" s="105"/>
      <c r="X1393" s="105"/>
      <c r="Y1393" s="2"/>
    </row>
    <row r="1394" spans="2:30" ht="27">
      <c r="B1394" s="13"/>
      <c r="C1394" s="86" t="s">
        <v>670</v>
      </c>
      <c r="D1394" s="86" t="s">
        <v>26</v>
      </c>
      <c r="E1394" s="87"/>
      <c r="F1394" s="485"/>
      <c r="G1394" s="441"/>
      <c r="H1394" s="87"/>
      <c r="I1394" s="87"/>
      <c r="J1394" s="130"/>
      <c r="K1394" s="130"/>
      <c r="L1394" s="5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90"/>
      <c r="Z1394" s="190"/>
      <c r="AA1394" s="16"/>
      <c r="AB1394" s="190"/>
      <c r="AC1394" s="16"/>
      <c r="AD1394" s="190"/>
    </row>
    <row r="1395" spans="2:30">
      <c r="B1395" s="13">
        <f t="shared" si="445"/>
        <v>1</v>
      </c>
      <c r="C1395" s="74" t="s">
        <v>203</v>
      </c>
      <c r="D1395" s="74" t="s">
        <v>28</v>
      </c>
      <c r="E1395" s="89"/>
      <c r="F1395" s="204"/>
      <c r="G1395" s="193"/>
      <c r="H1395" s="89"/>
      <c r="I1395" s="89"/>
      <c r="J1395" s="15">
        <v>122600000</v>
      </c>
      <c r="K1395" s="99">
        <v>229196000</v>
      </c>
      <c r="L1395" s="5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53">
        <v>100</v>
      </c>
      <c r="Z1395" s="53">
        <v>100</v>
      </c>
      <c r="AA1395" s="22">
        <v>189001824</v>
      </c>
      <c r="AB1395" s="19">
        <f>AA1395/K1395*100</f>
        <v>82.462967940103667</v>
      </c>
      <c r="AC1395" s="22">
        <f t="shared" ref="AC1395:AC1413" si="446">AA1395</f>
        <v>189001824</v>
      </c>
      <c r="AD1395" s="19">
        <f>AC1395/K1395*100</f>
        <v>82.462967940103667</v>
      </c>
    </row>
    <row r="1396" spans="2:30">
      <c r="B1396" s="13">
        <f t="shared" si="445"/>
        <v>2</v>
      </c>
      <c r="C1396" s="74" t="s">
        <v>210</v>
      </c>
      <c r="D1396" s="74" t="s">
        <v>30</v>
      </c>
      <c r="E1396" s="89"/>
      <c r="F1396" s="204"/>
      <c r="G1396" s="193"/>
      <c r="H1396" s="89"/>
      <c r="I1396" s="89"/>
      <c r="J1396" s="15">
        <v>141000000</v>
      </c>
      <c r="K1396" s="99">
        <v>148200000</v>
      </c>
      <c r="L1396" s="5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53">
        <v>100</v>
      </c>
      <c r="Z1396" s="53">
        <v>100</v>
      </c>
      <c r="AA1396" s="22">
        <v>147829017</v>
      </c>
      <c r="AB1396" s="19">
        <f t="shared" ref="AB1396:AB1400" si="447">AA1396/K1396*100</f>
        <v>99.749674089068833</v>
      </c>
      <c r="AC1396" s="22">
        <f t="shared" si="446"/>
        <v>147829017</v>
      </c>
      <c r="AD1396" s="19">
        <f t="shared" ref="AD1396:AD1400" si="448">AC1396/J1396*100</f>
        <v>104.8432744680851</v>
      </c>
    </row>
    <row r="1397" spans="2:30">
      <c r="B1397" s="13">
        <f t="shared" si="445"/>
        <v>3</v>
      </c>
      <c r="C1397" s="74" t="s">
        <v>204</v>
      </c>
      <c r="D1397" s="74" t="s">
        <v>32</v>
      </c>
      <c r="E1397" s="89"/>
      <c r="F1397" s="204"/>
      <c r="G1397" s="193"/>
      <c r="H1397" s="89"/>
      <c r="I1397" s="89"/>
      <c r="J1397" s="15">
        <v>171000000</v>
      </c>
      <c r="K1397" s="99">
        <v>174381000</v>
      </c>
      <c r="L1397" s="5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53">
        <v>100</v>
      </c>
      <c r="Z1397" s="53">
        <v>100</v>
      </c>
      <c r="AA1397" s="22">
        <v>123146125</v>
      </c>
      <c r="AB1397" s="19">
        <f t="shared" si="447"/>
        <v>70.619003790550579</v>
      </c>
      <c r="AC1397" s="22">
        <f t="shared" si="446"/>
        <v>123146125</v>
      </c>
      <c r="AD1397" s="19">
        <f t="shared" si="448"/>
        <v>72.015277777777769</v>
      </c>
    </row>
    <row r="1398" spans="2:30">
      <c r="B1398" s="13">
        <f t="shared" si="445"/>
        <v>4</v>
      </c>
      <c r="C1398" s="74" t="s">
        <v>205</v>
      </c>
      <c r="D1398" s="74" t="s">
        <v>34</v>
      </c>
      <c r="E1398" s="191"/>
      <c r="F1398" s="528"/>
      <c r="G1398" s="527"/>
      <c r="H1398" s="191"/>
      <c r="I1398" s="191"/>
      <c r="J1398" s="15">
        <v>73000000</v>
      </c>
      <c r="K1398" s="99">
        <v>73000000</v>
      </c>
      <c r="L1398" s="153"/>
      <c r="M1398" s="128"/>
      <c r="N1398" s="128"/>
      <c r="O1398" s="128"/>
      <c r="P1398" s="128"/>
      <c r="Q1398" s="128"/>
      <c r="R1398" s="128"/>
      <c r="S1398" s="128"/>
      <c r="T1398" s="128"/>
      <c r="U1398" s="128"/>
      <c r="V1398" s="128"/>
      <c r="W1398" s="128"/>
      <c r="X1398" s="128"/>
      <c r="Y1398" s="53">
        <v>100</v>
      </c>
      <c r="Z1398" s="53">
        <v>100</v>
      </c>
      <c r="AA1398" s="22">
        <v>72652000</v>
      </c>
      <c r="AB1398" s="19">
        <f t="shared" si="447"/>
        <v>99.523287671232879</v>
      </c>
      <c r="AC1398" s="22">
        <f t="shared" si="446"/>
        <v>72652000</v>
      </c>
      <c r="AD1398" s="19">
        <f t="shared" si="448"/>
        <v>99.523287671232879</v>
      </c>
    </row>
    <row r="1399" spans="2:30" ht="16.5">
      <c r="B1399" s="13">
        <f>B1398+1</f>
        <v>5</v>
      </c>
      <c r="C1399" s="74" t="s">
        <v>215</v>
      </c>
      <c r="D1399" s="74" t="s">
        <v>36</v>
      </c>
      <c r="E1399" s="89"/>
      <c r="F1399" s="204"/>
      <c r="G1399" s="193"/>
      <c r="H1399" s="89"/>
      <c r="I1399" s="89"/>
      <c r="J1399" s="15">
        <v>20000000</v>
      </c>
      <c r="K1399" s="99">
        <v>20000000</v>
      </c>
      <c r="L1399" s="438"/>
      <c r="M1399" s="193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53">
        <v>100</v>
      </c>
      <c r="Z1399" s="53">
        <v>100</v>
      </c>
      <c r="AA1399" s="22">
        <v>19647000</v>
      </c>
      <c r="AB1399" s="19">
        <f t="shared" si="447"/>
        <v>98.234999999999999</v>
      </c>
      <c r="AC1399" s="22">
        <f t="shared" si="446"/>
        <v>19647000</v>
      </c>
      <c r="AD1399" s="19">
        <f t="shared" si="448"/>
        <v>98.234999999999999</v>
      </c>
    </row>
    <row r="1400" spans="2:30" ht="25.5">
      <c r="B1400" s="13">
        <f t="shared" si="445"/>
        <v>6</v>
      </c>
      <c r="C1400" s="164" t="s">
        <v>216</v>
      </c>
      <c r="D1400" s="21" t="s">
        <v>38</v>
      </c>
      <c r="E1400" s="89"/>
      <c r="F1400" s="204"/>
      <c r="G1400" s="193"/>
      <c r="H1400" s="89"/>
      <c r="I1400" s="89"/>
      <c r="J1400" s="15">
        <v>15000000</v>
      </c>
      <c r="K1400" s="99">
        <v>15000000</v>
      </c>
      <c r="L1400" s="438"/>
      <c r="M1400" s="193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53">
        <v>100</v>
      </c>
      <c r="Z1400" s="53">
        <v>100</v>
      </c>
      <c r="AA1400" s="22">
        <v>14789900</v>
      </c>
      <c r="AB1400" s="19">
        <f t="shared" si="447"/>
        <v>98.599333333333334</v>
      </c>
      <c r="AC1400" s="22">
        <f t="shared" si="446"/>
        <v>14789900</v>
      </c>
      <c r="AD1400" s="19">
        <f t="shared" si="448"/>
        <v>98.599333333333334</v>
      </c>
    </row>
    <row r="1401" spans="2:30" ht="27">
      <c r="B1401" s="13"/>
      <c r="C1401" s="86" t="s">
        <v>672</v>
      </c>
      <c r="D1401" s="86" t="s">
        <v>673</v>
      </c>
      <c r="E1401" s="89"/>
      <c r="F1401" s="204"/>
      <c r="G1401" s="193"/>
      <c r="H1401" s="89"/>
      <c r="I1401" s="89"/>
      <c r="J1401" s="130"/>
      <c r="K1401" s="194"/>
      <c r="L1401" s="416"/>
      <c r="M1401" s="193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45"/>
      <c r="Z1401" s="145"/>
      <c r="AA1401" s="192"/>
      <c r="AB1401" s="195"/>
      <c r="AC1401" s="192">
        <f t="shared" si="446"/>
        <v>0</v>
      </c>
      <c r="AD1401" s="195"/>
    </row>
    <row r="1402" spans="2:30">
      <c r="B1402" s="13">
        <f>B1400+1</f>
        <v>7</v>
      </c>
      <c r="C1402" s="74" t="s">
        <v>221</v>
      </c>
      <c r="D1402" s="74" t="s">
        <v>674</v>
      </c>
      <c r="E1402" s="87"/>
      <c r="F1402" s="485"/>
      <c r="G1402" s="441"/>
      <c r="H1402" s="87"/>
      <c r="I1402" s="87"/>
      <c r="J1402" s="15">
        <v>395000000</v>
      </c>
      <c r="K1402" s="99">
        <v>395000000</v>
      </c>
      <c r="L1402" s="416"/>
      <c r="M1402" s="193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439">
        <v>100</v>
      </c>
      <c r="Z1402" s="439">
        <v>100</v>
      </c>
      <c r="AA1402" s="259">
        <v>387511000</v>
      </c>
      <c r="AB1402" s="291">
        <v>96.36</v>
      </c>
      <c r="AC1402" s="259">
        <f t="shared" si="446"/>
        <v>387511000</v>
      </c>
      <c r="AD1402" s="291">
        <f>AC1402/K1402*100</f>
        <v>98.104050632911395</v>
      </c>
    </row>
    <row r="1403" spans="2:30" ht="27">
      <c r="B1403" s="13">
        <f>B1402+1</f>
        <v>8</v>
      </c>
      <c r="C1403" s="123" t="s">
        <v>578</v>
      </c>
      <c r="D1403" s="74" t="s">
        <v>675</v>
      </c>
      <c r="E1403" s="87"/>
      <c r="F1403" s="485"/>
      <c r="G1403" s="441"/>
      <c r="H1403" s="87"/>
      <c r="I1403" s="87"/>
      <c r="J1403" s="15">
        <v>50000000</v>
      </c>
      <c r="K1403" s="99">
        <v>50000000</v>
      </c>
      <c r="L1403" s="440"/>
      <c r="M1403" s="441"/>
      <c r="N1403" s="128"/>
      <c r="O1403" s="128"/>
      <c r="P1403" s="128"/>
      <c r="Q1403" s="128"/>
      <c r="R1403" s="128"/>
      <c r="S1403" s="128"/>
      <c r="T1403" s="128"/>
      <c r="U1403" s="128"/>
      <c r="V1403" s="128"/>
      <c r="W1403" s="128"/>
      <c r="X1403" s="128"/>
      <c r="Y1403" s="439">
        <v>100</v>
      </c>
      <c r="Z1403" s="439">
        <v>100</v>
      </c>
      <c r="AA1403" s="259">
        <v>45442250</v>
      </c>
      <c r="AB1403" s="291">
        <f>AA1403/J1403*100</f>
        <v>90.884500000000003</v>
      </c>
      <c r="AC1403" s="259">
        <f t="shared" si="446"/>
        <v>45442250</v>
      </c>
      <c r="AD1403" s="291">
        <f>AC1403/J1403*100</f>
        <v>90.884500000000003</v>
      </c>
    </row>
    <row r="1404" spans="2:30" ht="27">
      <c r="B1404" s="13"/>
      <c r="C1404" s="86" t="s">
        <v>676</v>
      </c>
      <c r="D1404" s="86" t="s">
        <v>677</v>
      </c>
      <c r="E1404" s="87"/>
      <c r="F1404" s="485"/>
      <c r="G1404" s="441"/>
      <c r="H1404" s="87"/>
      <c r="I1404" s="87"/>
      <c r="J1404" s="130"/>
      <c r="K1404" s="146"/>
      <c r="L1404" s="416"/>
      <c r="M1404" s="25"/>
      <c r="N1404" s="18"/>
      <c r="O1404" s="401"/>
      <c r="P1404" s="401"/>
      <c r="Q1404" s="57"/>
      <c r="R1404" s="57"/>
      <c r="S1404" s="57"/>
      <c r="T1404" s="57"/>
      <c r="U1404" s="57"/>
      <c r="V1404" s="57"/>
      <c r="W1404" s="57"/>
      <c r="X1404" s="57"/>
      <c r="Y1404" s="439"/>
      <c r="Z1404" s="439"/>
      <c r="AA1404" s="259"/>
      <c r="AB1404" s="291"/>
      <c r="AC1404" s="259">
        <f t="shared" si="446"/>
        <v>0</v>
      </c>
      <c r="AD1404" s="291"/>
    </row>
    <row r="1405" spans="2:30">
      <c r="B1405" s="13">
        <f>B1403+1</f>
        <v>9</v>
      </c>
      <c r="C1405" s="74" t="s">
        <v>375</v>
      </c>
      <c r="D1405" s="74" t="s">
        <v>678</v>
      </c>
      <c r="E1405" s="89"/>
      <c r="F1405" s="204"/>
      <c r="G1405" s="193"/>
      <c r="H1405" s="89"/>
      <c r="I1405" s="89"/>
      <c r="J1405" s="15">
        <v>954880000</v>
      </c>
      <c r="K1405" s="99">
        <v>954880000</v>
      </c>
      <c r="L1405" s="13"/>
      <c r="M1405" s="17"/>
      <c r="N1405" s="17"/>
      <c r="O1405" s="17"/>
      <c r="P1405" s="17"/>
      <c r="Q1405" s="13"/>
      <c r="R1405" s="13"/>
      <c r="S1405" s="13"/>
      <c r="T1405" s="13"/>
      <c r="U1405" s="13"/>
      <c r="V1405" s="13"/>
      <c r="W1405" s="13"/>
      <c r="X1405" s="13"/>
      <c r="Y1405" s="439">
        <v>25</v>
      </c>
      <c r="Z1405" s="439">
        <v>25</v>
      </c>
      <c r="AA1405" s="259">
        <v>29593050</v>
      </c>
      <c r="AB1405" s="291">
        <f>AA1405/K1405*100</f>
        <v>3.0991381115951744</v>
      </c>
      <c r="AC1405" s="259">
        <f t="shared" si="446"/>
        <v>29593050</v>
      </c>
      <c r="AD1405" s="291">
        <f>AC1405/K1405*100</f>
        <v>3.0991381115951744</v>
      </c>
    </row>
    <row r="1406" spans="2:30">
      <c r="B1406" s="13">
        <f t="shared" ref="B1406:B1416" si="449">B1405+1</f>
        <v>10</v>
      </c>
      <c r="C1406" s="74" t="s">
        <v>377</v>
      </c>
      <c r="D1406" s="49" t="s">
        <v>679</v>
      </c>
      <c r="E1406" s="89"/>
      <c r="F1406" s="204"/>
      <c r="G1406" s="193"/>
      <c r="H1406" s="89"/>
      <c r="I1406" s="89"/>
      <c r="J1406" s="15">
        <v>33000000</v>
      </c>
      <c r="K1406" s="99">
        <v>33000000</v>
      </c>
      <c r="L1406" s="13"/>
      <c r="M1406" s="17"/>
      <c r="N1406" s="17"/>
      <c r="O1406" s="17"/>
      <c r="P1406" s="17"/>
      <c r="Q1406" s="13"/>
      <c r="R1406" s="13"/>
      <c r="S1406" s="13"/>
      <c r="T1406" s="13"/>
      <c r="U1406" s="13"/>
      <c r="V1406" s="13"/>
      <c r="W1406" s="13"/>
      <c r="X1406" s="13"/>
      <c r="Y1406" s="439">
        <v>100</v>
      </c>
      <c r="Z1406" s="439">
        <v>100</v>
      </c>
      <c r="AA1406" s="259">
        <v>31610000</v>
      </c>
      <c r="AB1406" s="291">
        <f t="shared" ref="AB1406:AB1416" si="450">AA1406/K1406*100</f>
        <v>95.787878787878782</v>
      </c>
      <c r="AC1406" s="259">
        <f>AA1406</f>
        <v>31610000</v>
      </c>
      <c r="AD1406" s="291">
        <f t="shared" ref="AD1406:AD1416" si="451">AC1406/K1406*100</f>
        <v>95.787878787878782</v>
      </c>
    </row>
    <row r="1407" spans="2:30">
      <c r="B1407" s="13">
        <f t="shared" si="449"/>
        <v>11</v>
      </c>
      <c r="C1407" s="74" t="s">
        <v>614</v>
      </c>
      <c r="D1407" s="74" t="s">
        <v>680</v>
      </c>
      <c r="E1407" s="89"/>
      <c r="F1407" s="204"/>
      <c r="G1407" s="193"/>
      <c r="H1407" s="89"/>
      <c r="I1407" s="89"/>
      <c r="J1407" s="15">
        <v>148000000</v>
      </c>
      <c r="K1407" s="99">
        <v>209000000</v>
      </c>
      <c r="L1407" s="416"/>
      <c r="M1407" s="25"/>
      <c r="N1407" s="18"/>
      <c r="O1407" s="401"/>
      <c r="P1407" s="401"/>
      <c r="Q1407" s="57"/>
      <c r="R1407" s="57"/>
      <c r="S1407" s="57"/>
      <c r="T1407" s="57"/>
      <c r="U1407" s="57"/>
      <c r="V1407" s="57"/>
      <c r="W1407" s="57"/>
      <c r="X1407" s="57"/>
      <c r="Y1407" s="439">
        <v>100</v>
      </c>
      <c r="Z1407" s="439">
        <v>100</v>
      </c>
      <c r="AA1407" s="259">
        <v>198839899</v>
      </c>
      <c r="AB1407" s="291">
        <f t="shared" si="450"/>
        <v>95.138707655502401</v>
      </c>
      <c r="AC1407" s="259">
        <f t="shared" si="446"/>
        <v>198839899</v>
      </c>
      <c r="AD1407" s="291">
        <f t="shared" si="451"/>
        <v>95.138707655502401</v>
      </c>
    </row>
    <row r="1408" spans="2:30" ht="25.5">
      <c r="B1408" s="13">
        <f t="shared" si="449"/>
        <v>12</v>
      </c>
      <c r="C1408" s="81">
        <v>16.004000000000001</v>
      </c>
      <c r="D1408" s="21" t="s">
        <v>681</v>
      </c>
      <c r="E1408" s="87"/>
      <c r="F1408" s="485"/>
      <c r="G1408" s="441"/>
      <c r="H1408" s="87"/>
      <c r="I1408" s="87"/>
      <c r="J1408" s="15">
        <v>75000000</v>
      </c>
      <c r="K1408" s="99">
        <v>75000000</v>
      </c>
      <c r="L1408" s="440"/>
      <c r="M1408" s="16"/>
      <c r="N1408" s="151"/>
      <c r="O1408" s="442"/>
      <c r="P1408" s="442"/>
      <c r="Q1408" s="153"/>
      <c r="R1408" s="153"/>
      <c r="S1408" s="153"/>
      <c r="T1408" s="153"/>
      <c r="U1408" s="153"/>
      <c r="V1408" s="153"/>
      <c r="W1408" s="153"/>
      <c r="X1408" s="153"/>
      <c r="Y1408" s="439">
        <v>25</v>
      </c>
      <c r="Z1408" s="439">
        <v>25</v>
      </c>
      <c r="AA1408" s="259">
        <v>72415900</v>
      </c>
      <c r="AB1408" s="291">
        <f t="shared" si="450"/>
        <v>96.554533333333339</v>
      </c>
      <c r="AC1408" s="259">
        <f t="shared" si="446"/>
        <v>72415900</v>
      </c>
      <c r="AD1408" s="291">
        <f t="shared" si="451"/>
        <v>96.554533333333339</v>
      </c>
    </row>
    <row r="1409" spans="2:30" ht="25.5">
      <c r="B1409" s="13">
        <f t="shared" si="449"/>
        <v>13</v>
      </c>
      <c r="C1409" s="74" t="s">
        <v>617</v>
      </c>
      <c r="D1409" s="21" t="s">
        <v>682</v>
      </c>
      <c r="E1409" s="89"/>
      <c r="F1409" s="204"/>
      <c r="G1409" s="193"/>
      <c r="H1409" s="89"/>
      <c r="I1409" s="89"/>
      <c r="J1409" s="15">
        <v>55000000</v>
      </c>
      <c r="K1409" s="99">
        <v>55000000</v>
      </c>
      <c r="L1409" s="416"/>
      <c r="M1409" s="17"/>
      <c r="N1409" s="17"/>
      <c r="O1409" s="17"/>
      <c r="P1409" s="17"/>
      <c r="Q1409" s="13"/>
      <c r="R1409" s="13"/>
      <c r="S1409" s="13"/>
      <c r="T1409" s="13"/>
      <c r="U1409" s="13"/>
      <c r="V1409" s="13"/>
      <c r="W1409" s="13"/>
      <c r="X1409" s="13"/>
      <c r="Y1409" s="439">
        <v>95</v>
      </c>
      <c r="Z1409" s="439">
        <v>95</v>
      </c>
      <c r="AA1409" s="259">
        <v>52973000</v>
      </c>
      <c r="AB1409" s="291">
        <f>AA1409/K1409*100</f>
        <v>96.314545454545453</v>
      </c>
      <c r="AC1409" s="259">
        <f t="shared" si="446"/>
        <v>52973000</v>
      </c>
      <c r="AD1409" s="291">
        <f t="shared" si="451"/>
        <v>96.314545454545453</v>
      </c>
    </row>
    <row r="1410" spans="2:30">
      <c r="B1410" s="13">
        <f t="shared" si="449"/>
        <v>14</v>
      </c>
      <c r="C1410" s="74" t="s">
        <v>385</v>
      </c>
      <c r="D1410" s="74" t="s">
        <v>683</v>
      </c>
      <c r="E1410" s="89"/>
      <c r="F1410" s="204"/>
      <c r="G1410" s="193"/>
      <c r="H1410" s="89"/>
      <c r="I1410" s="89"/>
      <c r="J1410" s="15">
        <v>80000000</v>
      </c>
      <c r="K1410" s="99">
        <v>80000000</v>
      </c>
      <c r="L1410" s="416"/>
      <c r="M1410" s="17"/>
      <c r="N1410" s="17"/>
      <c r="O1410" s="17"/>
      <c r="P1410" s="17"/>
      <c r="Q1410" s="13"/>
      <c r="R1410" s="13"/>
      <c r="S1410" s="13"/>
      <c r="T1410" s="13"/>
      <c r="U1410" s="13"/>
      <c r="V1410" s="13"/>
      <c r="W1410" s="13"/>
      <c r="X1410" s="13"/>
      <c r="Y1410" s="439">
        <v>98</v>
      </c>
      <c r="Z1410" s="439">
        <v>98</v>
      </c>
      <c r="AA1410" s="259">
        <v>77155000</v>
      </c>
      <c r="AB1410" s="291">
        <f t="shared" si="450"/>
        <v>96.443749999999994</v>
      </c>
      <c r="AC1410" s="259">
        <f t="shared" si="446"/>
        <v>77155000</v>
      </c>
      <c r="AD1410" s="291">
        <f t="shared" si="451"/>
        <v>96.443749999999994</v>
      </c>
    </row>
    <row r="1411" spans="2:30" ht="24" customHeight="1">
      <c r="B1411" s="13">
        <f t="shared" si="449"/>
        <v>15</v>
      </c>
      <c r="C1411" s="74" t="s">
        <v>623</v>
      </c>
      <c r="D1411" s="74" t="s">
        <v>684</v>
      </c>
      <c r="E1411" s="89"/>
      <c r="F1411" s="204"/>
      <c r="G1411" s="193"/>
      <c r="H1411" s="89"/>
      <c r="I1411" s="89"/>
      <c r="J1411" s="15">
        <v>60000000</v>
      </c>
      <c r="K1411" s="99">
        <v>60000000</v>
      </c>
      <c r="L1411" s="416"/>
      <c r="M1411" s="25"/>
      <c r="N1411" s="49"/>
      <c r="O1411" s="401"/>
      <c r="P1411" s="401"/>
      <c r="Q1411" s="57"/>
      <c r="R1411" s="57"/>
      <c r="S1411" s="57"/>
      <c r="T1411" s="57"/>
      <c r="U1411" s="57"/>
      <c r="V1411" s="57"/>
      <c r="W1411" s="57"/>
      <c r="X1411" s="57"/>
      <c r="Y1411" s="439">
        <v>50</v>
      </c>
      <c r="Z1411" s="439">
        <v>50</v>
      </c>
      <c r="AA1411" s="259">
        <v>23841250</v>
      </c>
      <c r="AB1411" s="291">
        <f t="shared" si="450"/>
        <v>39.735416666666666</v>
      </c>
      <c r="AC1411" s="259">
        <f t="shared" si="446"/>
        <v>23841250</v>
      </c>
      <c r="AD1411" s="291">
        <f t="shared" si="451"/>
        <v>39.735416666666666</v>
      </c>
    </row>
    <row r="1412" spans="2:30" ht="33.75" customHeight="1">
      <c r="B1412" s="13">
        <f t="shared" si="449"/>
        <v>16</v>
      </c>
      <c r="C1412" s="81">
        <v>16.026</v>
      </c>
      <c r="D1412" s="21" t="s">
        <v>685</v>
      </c>
      <c r="E1412" s="89"/>
      <c r="F1412" s="204"/>
      <c r="G1412" s="193"/>
      <c r="H1412" s="89"/>
      <c r="I1412" s="89"/>
      <c r="J1412" s="15">
        <v>15000000</v>
      </c>
      <c r="K1412" s="99">
        <v>15000000</v>
      </c>
      <c r="L1412" s="13"/>
      <c r="M1412" s="25"/>
      <c r="N1412" s="49"/>
      <c r="O1412" s="18"/>
      <c r="P1412" s="18"/>
      <c r="Q1412" s="17"/>
      <c r="R1412" s="17"/>
      <c r="S1412" s="17"/>
      <c r="T1412" s="17"/>
      <c r="U1412" s="17"/>
      <c r="V1412" s="17"/>
      <c r="W1412" s="17"/>
      <c r="X1412" s="17"/>
      <c r="Y1412" s="439">
        <v>100</v>
      </c>
      <c r="Z1412" s="439">
        <v>100</v>
      </c>
      <c r="AA1412" s="259">
        <v>14670000</v>
      </c>
      <c r="AB1412" s="291">
        <f t="shared" si="450"/>
        <v>97.8</v>
      </c>
      <c r="AC1412" s="259">
        <f t="shared" si="446"/>
        <v>14670000</v>
      </c>
      <c r="AD1412" s="291">
        <f t="shared" si="451"/>
        <v>97.8</v>
      </c>
    </row>
    <row r="1413" spans="2:30" ht="33" customHeight="1">
      <c r="B1413" s="13">
        <f t="shared" si="449"/>
        <v>17</v>
      </c>
      <c r="C1413" s="81">
        <v>16.027000000000001</v>
      </c>
      <c r="D1413" s="21" t="s">
        <v>686</v>
      </c>
      <c r="E1413" s="89"/>
      <c r="F1413" s="204"/>
      <c r="G1413" s="193"/>
      <c r="H1413" s="89"/>
      <c r="I1413" s="89"/>
      <c r="J1413" s="15">
        <v>52500000</v>
      </c>
      <c r="K1413" s="99">
        <v>52500000</v>
      </c>
      <c r="L1413" s="416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439">
        <v>100</v>
      </c>
      <c r="Z1413" s="439">
        <v>100</v>
      </c>
      <c r="AA1413" s="259">
        <v>52005000</v>
      </c>
      <c r="AB1413" s="291">
        <f t="shared" si="450"/>
        <v>99.05714285714285</v>
      </c>
      <c r="AC1413" s="259">
        <f t="shared" si="446"/>
        <v>52005000</v>
      </c>
      <c r="AD1413" s="291">
        <f t="shared" si="451"/>
        <v>99.05714285714285</v>
      </c>
    </row>
    <row r="1414" spans="2:30" ht="25.5">
      <c r="B1414" s="13">
        <f t="shared" si="449"/>
        <v>18</v>
      </c>
      <c r="C1414" s="81">
        <v>16.027999999999999</v>
      </c>
      <c r="D1414" s="21" t="s">
        <v>687</v>
      </c>
      <c r="E1414" s="89"/>
      <c r="F1414" s="204"/>
      <c r="G1414" s="193"/>
      <c r="H1414" s="89"/>
      <c r="I1414" s="89"/>
      <c r="J1414" s="15">
        <v>150000000</v>
      </c>
      <c r="K1414" s="99">
        <v>150000000</v>
      </c>
      <c r="L1414" s="443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439">
        <v>100</v>
      </c>
      <c r="Z1414" s="439">
        <v>100</v>
      </c>
      <c r="AA1414" s="259">
        <v>145000000</v>
      </c>
      <c r="AB1414" s="291">
        <f t="shared" si="450"/>
        <v>96.666666666666671</v>
      </c>
      <c r="AC1414" s="259">
        <f t="shared" ref="AC1414:AC1419" si="452">AA1414</f>
        <v>145000000</v>
      </c>
      <c r="AD1414" s="291">
        <f t="shared" si="451"/>
        <v>96.666666666666671</v>
      </c>
    </row>
    <row r="1415" spans="2:30" ht="23.25" customHeight="1">
      <c r="B1415" s="13">
        <f t="shared" si="449"/>
        <v>19</v>
      </c>
      <c r="C1415" s="81">
        <v>16.029</v>
      </c>
      <c r="D1415" s="21" t="s">
        <v>688</v>
      </c>
      <c r="E1415" s="89"/>
      <c r="F1415" s="204"/>
      <c r="G1415" s="193"/>
      <c r="H1415" s="89"/>
      <c r="I1415" s="89"/>
      <c r="J1415" s="15">
        <v>15000000</v>
      </c>
      <c r="K1415" s="99">
        <v>15000000</v>
      </c>
      <c r="L1415" s="443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439">
        <v>100</v>
      </c>
      <c r="Z1415" s="439">
        <v>100</v>
      </c>
      <c r="AA1415" s="259">
        <v>14900000</v>
      </c>
      <c r="AB1415" s="291">
        <f t="shared" si="450"/>
        <v>99.333333333333329</v>
      </c>
      <c r="AC1415" s="259">
        <f t="shared" si="452"/>
        <v>14900000</v>
      </c>
      <c r="AD1415" s="291">
        <f t="shared" si="451"/>
        <v>99.333333333333329</v>
      </c>
    </row>
    <row r="1416" spans="2:30" ht="23.25" customHeight="1">
      <c r="B1416" s="13">
        <f t="shared" si="449"/>
        <v>20</v>
      </c>
      <c r="C1416" s="81">
        <v>16.03</v>
      </c>
      <c r="D1416" s="17" t="s">
        <v>2328</v>
      </c>
      <c r="E1416" s="89"/>
      <c r="F1416" s="204"/>
      <c r="G1416" s="193"/>
      <c r="H1416" s="89"/>
      <c r="I1416" s="89"/>
      <c r="J1416" s="15"/>
      <c r="K1416" s="99">
        <v>50000000</v>
      </c>
      <c r="L1416" s="443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439">
        <v>100</v>
      </c>
      <c r="Z1416" s="439">
        <v>100</v>
      </c>
      <c r="AA1416" s="259">
        <v>47515000</v>
      </c>
      <c r="AB1416" s="291">
        <f t="shared" si="450"/>
        <v>95.03</v>
      </c>
      <c r="AC1416" s="259">
        <f t="shared" si="452"/>
        <v>47515000</v>
      </c>
      <c r="AD1416" s="291">
        <f t="shared" si="451"/>
        <v>95.03</v>
      </c>
    </row>
    <row r="1417" spans="2:30" ht="37.5" customHeight="1">
      <c r="B1417" s="13"/>
      <c r="C1417" s="86" t="s">
        <v>689</v>
      </c>
      <c r="D1417" s="86" t="s">
        <v>690</v>
      </c>
      <c r="E1417" s="87"/>
      <c r="F1417" s="485"/>
      <c r="G1417" s="441"/>
      <c r="H1417" s="87"/>
      <c r="I1417" s="87"/>
      <c r="J1417" s="130"/>
      <c r="K1417" s="130"/>
      <c r="L1417" s="416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439"/>
      <c r="Z1417" s="439"/>
      <c r="AA1417" s="259"/>
      <c r="AB1417" s="291"/>
      <c r="AC1417" s="259">
        <f t="shared" si="452"/>
        <v>0</v>
      </c>
      <c r="AD1417" s="291"/>
    </row>
    <row r="1418" spans="2:30" ht="33" customHeight="1">
      <c r="B1418" s="13">
        <f>B1416+1</f>
        <v>21</v>
      </c>
      <c r="C1418" s="74" t="s">
        <v>238</v>
      </c>
      <c r="D1418" s="74" t="s">
        <v>691</v>
      </c>
      <c r="E1418" s="89"/>
      <c r="F1418" s="204"/>
      <c r="G1418" s="193"/>
      <c r="H1418" s="89"/>
      <c r="I1418" s="89"/>
      <c r="J1418" s="15">
        <v>52500000</v>
      </c>
      <c r="K1418" s="99">
        <v>52500000</v>
      </c>
      <c r="L1418" s="416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439">
        <v>100</v>
      </c>
      <c r="Z1418" s="439">
        <v>100</v>
      </c>
      <c r="AA1418" s="259">
        <v>51480000</v>
      </c>
      <c r="AB1418" s="291">
        <f>AA1418/K1418*100</f>
        <v>98.05714285714285</v>
      </c>
      <c r="AC1418" s="259">
        <f t="shared" si="452"/>
        <v>51480000</v>
      </c>
      <c r="AD1418" s="291">
        <f>AC1418/K1418*100</f>
        <v>98.05714285714285</v>
      </c>
    </row>
    <row r="1419" spans="2:30" ht="31.5" customHeight="1">
      <c r="B1419" s="45">
        <f>B1418+1</f>
        <v>22</v>
      </c>
      <c r="C1419" s="93" t="s">
        <v>240</v>
      </c>
      <c r="D1419" s="93" t="s">
        <v>692</v>
      </c>
      <c r="E1419" s="186"/>
      <c r="F1419" s="489"/>
      <c r="G1419" s="240"/>
      <c r="H1419" s="186"/>
      <c r="J1419" s="15">
        <v>73000000</v>
      </c>
      <c r="K1419" s="99">
        <v>73000000</v>
      </c>
      <c r="L1419" s="444"/>
      <c r="M1419" s="73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39">
        <v>2</v>
      </c>
      <c r="Z1419" s="439">
        <v>2</v>
      </c>
      <c r="AA1419" s="259">
        <v>0</v>
      </c>
      <c r="AB1419" s="291">
        <f>AA1419/K1419*100</f>
        <v>0</v>
      </c>
      <c r="AC1419" s="445">
        <f t="shared" si="452"/>
        <v>0</v>
      </c>
      <c r="AD1419" s="291">
        <f>AC1419/K1419*100</f>
        <v>0</v>
      </c>
    </row>
    <row r="1420" spans="2:30" ht="19.5" customHeight="1">
      <c r="B1420" s="37">
        <v>122</v>
      </c>
      <c r="C1420" s="855" t="s">
        <v>693</v>
      </c>
      <c r="D1420" s="855"/>
      <c r="E1420" s="483"/>
      <c r="F1420" s="483">
        <v>22</v>
      </c>
      <c r="G1420" s="468"/>
      <c r="H1420" s="526"/>
      <c r="I1420" s="468"/>
      <c r="J1420" s="139">
        <f>SUM(J1395:J1419)</f>
        <v>2751480000</v>
      </c>
      <c r="K1420" s="139">
        <f>SUM(K1395:K1419)</f>
        <v>2979657000</v>
      </c>
      <c r="L1420" s="117"/>
      <c r="M1420" s="311"/>
      <c r="N1420" s="311"/>
      <c r="O1420" s="311"/>
      <c r="P1420" s="311"/>
      <c r="Q1420" s="311"/>
      <c r="R1420" s="311" t="s">
        <v>1458</v>
      </c>
      <c r="S1420" s="553" t="s">
        <v>1459</v>
      </c>
      <c r="T1420" s="553" t="s">
        <v>1459</v>
      </c>
      <c r="U1420" s="553" t="s">
        <v>1459</v>
      </c>
      <c r="V1420" s="553" t="s">
        <v>1459</v>
      </c>
      <c r="W1420" s="553" t="s">
        <v>1459</v>
      </c>
      <c r="X1420" s="553"/>
      <c r="Y1420" s="188">
        <f>SUM(Y1395:Y1419)/22</f>
        <v>86.13636363636364</v>
      </c>
      <c r="Z1420" s="188">
        <f>SUM(Z1395:Z1419)/22</f>
        <v>86.13636363636364</v>
      </c>
      <c r="AA1420" s="189">
        <f>SUM(AA1395:AA1419)</f>
        <v>1812017215</v>
      </c>
      <c r="AB1420" s="188">
        <f>SUM(AB1395:AB1419)/22</f>
        <v>83.884182843095317</v>
      </c>
      <c r="AC1420" s="189">
        <f>SUM(AC1395:AC1419)</f>
        <v>1812017215</v>
      </c>
      <c r="AD1420" s="188">
        <f>SUM(AD1395:AD1419)/22</f>
        <v>84.258452161238722</v>
      </c>
    </row>
    <row r="1421" spans="2:30" ht="20.25" customHeight="1">
      <c r="B1421" s="66"/>
      <c r="C1421" s="63" t="s">
        <v>694</v>
      </c>
      <c r="D1421" s="64" t="s">
        <v>695</v>
      </c>
      <c r="E1421" s="484"/>
      <c r="F1421" s="506">
        <v>13</v>
      </c>
      <c r="G1421" s="543" t="s">
        <v>1845</v>
      </c>
      <c r="H1421" s="540">
        <v>0</v>
      </c>
      <c r="I1421" s="535" t="s">
        <v>1464</v>
      </c>
      <c r="J1421" s="176"/>
      <c r="K1421" s="65"/>
      <c r="L1421" s="66"/>
      <c r="M1421" s="63"/>
      <c r="N1421" s="63"/>
      <c r="O1421" s="63"/>
      <c r="P1421" s="63"/>
      <c r="Q1421" s="63"/>
      <c r="R1421" s="538" t="s">
        <v>1459</v>
      </c>
      <c r="S1421" s="66" t="s">
        <v>1458</v>
      </c>
      <c r="T1421" s="538" t="s">
        <v>1459</v>
      </c>
      <c r="U1421" s="538" t="s">
        <v>1459</v>
      </c>
      <c r="V1421" s="538" t="s">
        <v>1459</v>
      </c>
      <c r="W1421" s="538" t="s">
        <v>1459</v>
      </c>
      <c r="X1421" s="538"/>
      <c r="Y1421" s="63"/>
      <c r="Z1421" s="63"/>
      <c r="AA1421" s="63"/>
      <c r="AB1421" s="63"/>
      <c r="AC1421" s="63"/>
      <c r="AD1421" s="63"/>
    </row>
    <row r="1422" spans="2:30" ht="33" customHeight="1">
      <c r="B1422" s="13"/>
      <c r="C1422" s="86" t="s">
        <v>694</v>
      </c>
      <c r="D1422" s="86" t="s">
        <v>26</v>
      </c>
      <c r="E1422" s="87"/>
      <c r="F1422" s="485"/>
      <c r="G1422" s="441"/>
      <c r="H1422" s="87"/>
      <c r="I1422" s="87"/>
      <c r="J1422" s="130"/>
      <c r="K1422" s="16"/>
      <c r="L1422" s="10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14"/>
      <c r="Z1422" s="114"/>
      <c r="AA1422" s="99"/>
      <c r="AB1422" s="98"/>
      <c r="AC1422" s="99"/>
      <c r="AD1422" s="98"/>
    </row>
    <row r="1423" spans="2:30" ht="21.75" customHeight="1">
      <c r="B1423" s="13">
        <f>B1422+1</f>
        <v>1</v>
      </c>
      <c r="C1423" s="74" t="s">
        <v>203</v>
      </c>
      <c r="D1423" s="74" t="s">
        <v>28</v>
      </c>
      <c r="E1423" s="89"/>
      <c r="F1423" s="97">
        <v>1</v>
      </c>
      <c r="G1423" s="59" t="s">
        <v>1845</v>
      </c>
      <c r="H1423" s="542">
        <v>0</v>
      </c>
      <c r="I1423" s="59" t="s">
        <v>1845</v>
      </c>
      <c r="J1423" s="15">
        <v>445822000</v>
      </c>
      <c r="K1423" s="25">
        <v>576437000</v>
      </c>
      <c r="L1423" s="107"/>
      <c r="M1423" s="17"/>
      <c r="N1423" s="17"/>
      <c r="O1423" s="158"/>
      <c r="P1423" s="163"/>
      <c r="Q1423" s="17"/>
      <c r="R1423" s="17"/>
      <c r="S1423" s="17"/>
      <c r="T1423" s="17"/>
      <c r="U1423" s="17"/>
      <c r="V1423" s="17"/>
      <c r="W1423" s="17"/>
      <c r="X1423" s="17"/>
      <c r="Y1423" s="114">
        <f>AB1423</f>
        <v>91.835933501839747</v>
      </c>
      <c r="Z1423" s="114">
        <f>AD1423</f>
        <v>91.835933501839747</v>
      </c>
      <c r="AA1423" s="99">
        <f>195846300+177450000+22800000+5400000+6125000+85950000+14900000+7500000+6655000+6750000</f>
        <v>529376300</v>
      </c>
      <c r="AB1423" s="98">
        <f>AA1423/K1423*100</f>
        <v>91.835933501839747</v>
      </c>
      <c r="AC1423" s="99">
        <f>AA1423</f>
        <v>529376300</v>
      </c>
      <c r="AD1423" s="98">
        <f>AC1423/K1423*100</f>
        <v>91.835933501839747</v>
      </c>
    </row>
    <row r="1424" spans="2:30" ht="21" customHeight="1">
      <c r="B1424" s="13">
        <f t="shared" ref="B1424:B1436" si="453">B1423+1</f>
        <v>2</v>
      </c>
      <c r="C1424" s="74" t="s">
        <v>210</v>
      </c>
      <c r="D1424" s="74" t="s">
        <v>30</v>
      </c>
      <c r="E1424" s="89"/>
      <c r="F1424" s="97">
        <v>1</v>
      </c>
      <c r="G1424" s="59" t="s">
        <v>1845</v>
      </c>
      <c r="H1424" s="542">
        <v>0</v>
      </c>
      <c r="I1424" s="59" t="s">
        <v>1845</v>
      </c>
      <c r="J1424" s="15">
        <v>61113000</v>
      </c>
      <c r="K1424" s="25">
        <v>61113000</v>
      </c>
      <c r="L1424" s="107"/>
      <c r="M1424" s="17"/>
      <c r="N1424" s="17"/>
      <c r="O1424" s="158"/>
      <c r="P1424" s="17"/>
      <c r="Q1424" s="17"/>
      <c r="R1424" s="17"/>
      <c r="S1424" s="17"/>
      <c r="T1424" s="17"/>
      <c r="U1424" s="17"/>
      <c r="V1424" s="17"/>
      <c r="W1424" s="17"/>
      <c r="X1424" s="17"/>
      <c r="Y1424" s="114">
        <f t="shared" ref="Y1424:Y1436" si="454">AB1424</f>
        <v>72.704334593294391</v>
      </c>
      <c r="Z1424" s="114">
        <f t="shared" ref="Z1424:Z1436" si="455">AD1424</f>
        <v>72.704334593294391</v>
      </c>
      <c r="AA1424" s="99">
        <v>44431800</v>
      </c>
      <c r="AB1424" s="98">
        <f t="shared" ref="AB1424:AB1427" si="456">AA1424/K1424*100</f>
        <v>72.704334593294391</v>
      </c>
      <c r="AC1424" s="99">
        <f t="shared" ref="AC1424:AC1436" si="457">AA1424</f>
        <v>44431800</v>
      </c>
      <c r="AD1424" s="98">
        <f t="shared" ref="AD1424:AD1426" si="458">AC1424/K1424*100</f>
        <v>72.704334593294391</v>
      </c>
    </row>
    <row r="1425" spans="2:30" ht="23.25" customHeight="1">
      <c r="B1425" s="13">
        <f t="shared" si="453"/>
        <v>3</v>
      </c>
      <c r="C1425" s="74" t="s">
        <v>204</v>
      </c>
      <c r="D1425" s="74" t="s">
        <v>32</v>
      </c>
      <c r="E1425" s="89"/>
      <c r="F1425" s="97">
        <v>1</v>
      </c>
      <c r="G1425" s="59" t="s">
        <v>1845</v>
      </c>
      <c r="H1425" s="542">
        <v>0</v>
      </c>
      <c r="I1425" s="59" t="s">
        <v>1845</v>
      </c>
      <c r="J1425" s="15">
        <v>406241000</v>
      </c>
      <c r="K1425" s="25">
        <v>302241000</v>
      </c>
      <c r="L1425" s="10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14">
        <f t="shared" si="454"/>
        <v>32.259025082632732</v>
      </c>
      <c r="Z1425" s="114">
        <f t="shared" si="455"/>
        <v>32.259025082632732</v>
      </c>
      <c r="AA1425" s="99">
        <f>97500000</f>
        <v>97500000</v>
      </c>
      <c r="AB1425" s="98">
        <f t="shared" si="456"/>
        <v>32.259025082632732</v>
      </c>
      <c r="AC1425" s="99">
        <f t="shared" si="457"/>
        <v>97500000</v>
      </c>
      <c r="AD1425" s="98">
        <f t="shared" si="458"/>
        <v>32.259025082632732</v>
      </c>
    </row>
    <row r="1426" spans="2:30" ht="21" customHeight="1">
      <c r="B1426" s="13">
        <f t="shared" si="453"/>
        <v>4</v>
      </c>
      <c r="C1426" s="74" t="s">
        <v>205</v>
      </c>
      <c r="D1426" s="74" t="s">
        <v>34</v>
      </c>
      <c r="E1426" s="89"/>
      <c r="F1426" s="97">
        <v>1</v>
      </c>
      <c r="G1426" s="59" t="s">
        <v>1845</v>
      </c>
      <c r="H1426" s="542">
        <v>0</v>
      </c>
      <c r="I1426" s="59" t="s">
        <v>1845</v>
      </c>
      <c r="J1426" s="15">
        <v>144725000</v>
      </c>
      <c r="K1426" s="25">
        <v>391175000</v>
      </c>
      <c r="L1426" s="10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14">
        <f t="shared" si="454"/>
        <v>63.552118616987286</v>
      </c>
      <c r="Z1426" s="114">
        <f t="shared" si="455"/>
        <v>63.552118616987286</v>
      </c>
      <c r="AA1426" s="99">
        <f>20400000+11050000+3150000+5150000+1900000+13400000+23700000+5000000+99500000+6800000+7425000+21000000+14750000+10000000+5375000</f>
        <v>248600000</v>
      </c>
      <c r="AB1426" s="98">
        <f t="shared" si="456"/>
        <v>63.552118616987286</v>
      </c>
      <c r="AC1426" s="99">
        <f t="shared" si="457"/>
        <v>248600000</v>
      </c>
      <c r="AD1426" s="98">
        <f t="shared" si="458"/>
        <v>63.552118616987286</v>
      </c>
    </row>
    <row r="1427" spans="2:30" ht="21" customHeight="1">
      <c r="B1427" s="13">
        <f t="shared" si="453"/>
        <v>5</v>
      </c>
      <c r="C1427" s="74" t="s">
        <v>215</v>
      </c>
      <c r="D1427" s="74" t="s">
        <v>36</v>
      </c>
      <c r="E1427" s="89"/>
      <c r="F1427" s="97">
        <v>1</v>
      </c>
      <c r="G1427" s="59" t="s">
        <v>1845</v>
      </c>
      <c r="H1427" s="542">
        <v>0</v>
      </c>
      <c r="I1427" s="59" t="s">
        <v>1845</v>
      </c>
      <c r="J1427" s="15">
        <v>10000000</v>
      </c>
      <c r="K1427" s="25">
        <v>15000000</v>
      </c>
      <c r="L1427" s="107"/>
      <c r="M1427" s="196"/>
      <c r="N1427" s="197"/>
      <c r="O1427" s="198"/>
      <c r="P1427" s="199"/>
      <c r="Q1427" s="17"/>
      <c r="R1427" s="17"/>
      <c r="S1427" s="17"/>
      <c r="T1427" s="17"/>
      <c r="U1427" s="17"/>
      <c r="V1427" s="17"/>
      <c r="W1427" s="17"/>
      <c r="X1427" s="17"/>
      <c r="Y1427" s="114">
        <f t="shared" si="454"/>
        <v>35.683333333333337</v>
      </c>
      <c r="Z1427" s="114">
        <f t="shared" si="455"/>
        <v>35.683333333333337</v>
      </c>
      <c r="AA1427" s="99">
        <v>5352500</v>
      </c>
      <c r="AB1427" s="98">
        <f t="shared" si="456"/>
        <v>35.683333333333337</v>
      </c>
      <c r="AC1427" s="99">
        <f t="shared" si="457"/>
        <v>5352500</v>
      </c>
      <c r="AD1427" s="98">
        <f>AC1427/K1427*100</f>
        <v>35.683333333333337</v>
      </c>
    </row>
    <row r="1428" spans="2:30" ht="17.25" customHeight="1">
      <c r="B1428" s="13"/>
      <c r="C1428" s="86" t="s">
        <v>696</v>
      </c>
      <c r="D1428" s="86" t="s">
        <v>697</v>
      </c>
      <c r="E1428" s="87"/>
      <c r="F1428" s="485"/>
      <c r="G1428" s="441"/>
      <c r="H1428" s="542"/>
      <c r="I1428" s="59"/>
      <c r="J1428" s="130"/>
      <c r="K1428" s="25"/>
      <c r="L1428" s="107"/>
      <c r="M1428" s="200"/>
      <c r="N1428" s="201"/>
      <c r="O1428" s="202"/>
      <c r="P1428" s="203"/>
      <c r="Q1428" s="17"/>
      <c r="R1428" s="17"/>
      <c r="S1428" s="17"/>
      <c r="T1428" s="17"/>
      <c r="U1428" s="17"/>
      <c r="V1428" s="17"/>
      <c r="W1428" s="17"/>
      <c r="X1428" s="17"/>
      <c r="Y1428" s="114">
        <f t="shared" si="454"/>
        <v>0</v>
      </c>
      <c r="Z1428" s="114">
        <f t="shared" si="455"/>
        <v>0</v>
      </c>
      <c r="AA1428" s="22"/>
      <c r="AB1428" s="98"/>
      <c r="AC1428" s="99">
        <f t="shared" si="457"/>
        <v>0</v>
      </c>
      <c r="AD1428" s="98"/>
    </row>
    <row r="1429" spans="2:30" ht="105">
      <c r="B1429" s="13">
        <f>B1427+1</f>
        <v>6</v>
      </c>
      <c r="C1429" s="74" t="s">
        <v>219</v>
      </c>
      <c r="D1429" s="74" t="s">
        <v>698</v>
      </c>
      <c r="E1429" s="89"/>
      <c r="F1429" s="97">
        <v>1</v>
      </c>
      <c r="G1429" s="59" t="s">
        <v>1845</v>
      </c>
      <c r="H1429" s="542">
        <v>0</v>
      </c>
      <c r="I1429" s="59" t="s">
        <v>1845</v>
      </c>
      <c r="J1429" s="15">
        <v>303115000</v>
      </c>
      <c r="K1429" s="41">
        <v>328541000</v>
      </c>
      <c r="L1429" s="107" t="s">
        <v>699</v>
      </c>
      <c r="M1429" s="17"/>
      <c r="N1429" s="161" t="s">
        <v>700</v>
      </c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14">
        <f t="shared" si="454"/>
        <v>86.176573091334106</v>
      </c>
      <c r="Z1429" s="114">
        <f t="shared" si="455"/>
        <v>86.176573091334106</v>
      </c>
      <c r="AA1429" s="289">
        <v>283125375</v>
      </c>
      <c r="AB1429" s="290">
        <f>AA1429/K1429*100</f>
        <v>86.176573091334106</v>
      </c>
      <c r="AC1429" s="99">
        <f t="shared" si="457"/>
        <v>283125375</v>
      </c>
      <c r="AD1429" s="290">
        <f>AC1429/K1429*100</f>
        <v>86.176573091334106</v>
      </c>
    </row>
    <row r="1430" spans="2:30">
      <c r="B1430" s="13">
        <f>B1429+1</f>
        <v>7</v>
      </c>
      <c r="C1430" s="74" t="s">
        <v>221</v>
      </c>
      <c r="D1430" s="74" t="s">
        <v>701</v>
      </c>
      <c r="E1430" s="89"/>
      <c r="F1430" s="97">
        <v>1</v>
      </c>
      <c r="G1430" s="59" t="s">
        <v>1845</v>
      </c>
      <c r="H1430" s="542">
        <v>0</v>
      </c>
      <c r="I1430" s="59" t="s">
        <v>1845</v>
      </c>
      <c r="J1430" s="15">
        <v>28170000</v>
      </c>
      <c r="K1430" s="25">
        <v>28170000</v>
      </c>
      <c r="L1430" s="107"/>
      <c r="M1430" s="18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14">
        <f t="shared" si="454"/>
        <v>95.846645367412137</v>
      </c>
      <c r="Z1430" s="114">
        <f t="shared" si="455"/>
        <v>95.846645367412137</v>
      </c>
      <c r="AA1430" s="22">
        <v>27000000</v>
      </c>
      <c r="AB1430" s="290">
        <f t="shared" ref="AB1430:AB1436" si="459">AA1430/K1430*100</f>
        <v>95.846645367412137</v>
      </c>
      <c r="AC1430" s="99">
        <f t="shared" si="457"/>
        <v>27000000</v>
      </c>
      <c r="AD1430" s="290">
        <f t="shared" ref="AD1430:AD1436" si="460">AC1430/K1430*100</f>
        <v>95.846645367412137</v>
      </c>
    </row>
    <row r="1431" spans="2:30">
      <c r="B1431" s="13">
        <f t="shared" si="453"/>
        <v>8</v>
      </c>
      <c r="C1431" s="74" t="s">
        <v>600</v>
      </c>
      <c r="D1431" s="74" t="s">
        <v>702</v>
      </c>
      <c r="E1431" s="89"/>
      <c r="F1431" s="97">
        <v>1</v>
      </c>
      <c r="G1431" s="59" t="s">
        <v>1845</v>
      </c>
      <c r="H1431" s="542">
        <v>0</v>
      </c>
      <c r="I1431" s="59" t="s">
        <v>1845</v>
      </c>
      <c r="J1431" s="15">
        <v>227590000</v>
      </c>
      <c r="K1431" s="25">
        <v>227590000</v>
      </c>
      <c r="L1431" s="10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14">
        <f t="shared" si="454"/>
        <v>25.657596994595544</v>
      </c>
      <c r="Z1431" s="114">
        <f t="shared" si="455"/>
        <v>25.657596994595544</v>
      </c>
      <c r="AA1431" s="99">
        <v>58394125</v>
      </c>
      <c r="AB1431" s="290">
        <f t="shared" si="459"/>
        <v>25.657596994595544</v>
      </c>
      <c r="AC1431" s="99">
        <f t="shared" si="457"/>
        <v>58394125</v>
      </c>
      <c r="AD1431" s="290">
        <f t="shared" si="460"/>
        <v>25.657596994595544</v>
      </c>
    </row>
    <row r="1432" spans="2:30">
      <c r="B1432" s="13">
        <f t="shared" si="453"/>
        <v>9</v>
      </c>
      <c r="C1432" s="74" t="s">
        <v>664</v>
      </c>
      <c r="D1432" s="74" t="s">
        <v>703</v>
      </c>
      <c r="E1432" s="89"/>
      <c r="F1432" s="97">
        <v>1</v>
      </c>
      <c r="G1432" s="59" t="s">
        <v>1845</v>
      </c>
      <c r="H1432" s="542">
        <v>0</v>
      </c>
      <c r="I1432" s="59" t="s">
        <v>1845</v>
      </c>
      <c r="J1432" s="15">
        <v>15000000</v>
      </c>
      <c r="K1432" s="25">
        <v>15000000</v>
      </c>
      <c r="L1432" s="10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14">
        <f t="shared" si="454"/>
        <v>50</v>
      </c>
      <c r="Z1432" s="114">
        <f t="shared" si="455"/>
        <v>50</v>
      </c>
      <c r="AA1432" s="99">
        <v>7500000</v>
      </c>
      <c r="AB1432" s="290">
        <f t="shared" si="459"/>
        <v>50</v>
      </c>
      <c r="AC1432" s="99">
        <f t="shared" si="457"/>
        <v>7500000</v>
      </c>
      <c r="AD1432" s="290">
        <f t="shared" si="460"/>
        <v>50</v>
      </c>
    </row>
    <row r="1433" spans="2:30">
      <c r="B1433" s="13">
        <f t="shared" si="453"/>
        <v>10</v>
      </c>
      <c r="C1433" s="74" t="s">
        <v>602</v>
      </c>
      <c r="D1433" s="74" t="s">
        <v>704</v>
      </c>
      <c r="E1433" s="89"/>
      <c r="F1433" s="97">
        <v>1</v>
      </c>
      <c r="G1433" s="59" t="s">
        <v>1845</v>
      </c>
      <c r="H1433" s="542">
        <v>0</v>
      </c>
      <c r="I1433" s="59" t="s">
        <v>1845</v>
      </c>
      <c r="J1433" s="15">
        <v>91152000</v>
      </c>
      <c r="K1433" s="25">
        <v>91152000</v>
      </c>
      <c r="L1433" s="10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14">
        <f t="shared" si="454"/>
        <v>61.70056608741443</v>
      </c>
      <c r="Z1433" s="114">
        <f t="shared" si="455"/>
        <v>61.70056608741443</v>
      </c>
      <c r="AA1433" s="99">
        <v>56241300</v>
      </c>
      <c r="AB1433" s="290">
        <f t="shared" si="459"/>
        <v>61.70056608741443</v>
      </c>
      <c r="AC1433" s="99">
        <f t="shared" si="457"/>
        <v>56241300</v>
      </c>
      <c r="AD1433" s="290">
        <f t="shared" si="460"/>
        <v>61.70056608741443</v>
      </c>
    </row>
    <row r="1434" spans="2:30">
      <c r="B1434" s="45">
        <f t="shared" si="453"/>
        <v>11</v>
      </c>
      <c r="C1434" s="93" t="s">
        <v>604</v>
      </c>
      <c r="D1434" s="93" t="s">
        <v>705</v>
      </c>
      <c r="E1434" s="186"/>
      <c r="F1434" s="97">
        <v>1</v>
      </c>
      <c r="G1434" s="59" t="s">
        <v>1845</v>
      </c>
      <c r="H1434" s="542">
        <v>0</v>
      </c>
      <c r="I1434" s="59" t="s">
        <v>1845</v>
      </c>
      <c r="J1434" s="79">
        <v>117666000</v>
      </c>
      <c r="K1434" s="40">
        <v>117666000</v>
      </c>
      <c r="L1434" s="109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114">
        <f t="shared" si="454"/>
        <v>37.604320704366593</v>
      </c>
      <c r="Z1434" s="114">
        <f t="shared" si="455"/>
        <v>37.604320704366593</v>
      </c>
      <c r="AA1434" s="102">
        <v>44247500</v>
      </c>
      <c r="AB1434" s="290">
        <f t="shared" si="459"/>
        <v>37.604320704366593</v>
      </c>
      <c r="AC1434" s="99">
        <f t="shared" si="457"/>
        <v>44247500</v>
      </c>
      <c r="AD1434" s="290">
        <f t="shared" si="460"/>
        <v>37.604320704366593</v>
      </c>
    </row>
    <row r="1435" spans="2:30">
      <c r="B1435" s="13">
        <f t="shared" si="453"/>
        <v>12</v>
      </c>
      <c r="C1435" s="93" t="s">
        <v>578</v>
      </c>
      <c r="D1435" s="21" t="s">
        <v>706</v>
      </c>
      <c r="E1435" s="204"/>
      <c r="F1435" s="97">
        <v>1</v>
      </c>
      <c r="G1435" s="59" t="s">
        <v>1845</v>
      </c>
      <c r="H1435" s="542">
        <v>0</v>
      </c>
      <c r="I1435" s="59" t="s">
        <v>1845</v>
      </c>
      <c r="J1435" s="15">
        <v>28802000</v>
      </c>
      <c r="K1435" s="25">
        <v>28802000</v>
      </c>
      <c r="L1435" s="10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14">
        <f t="shared" si="454"/>
        <v>0</v>
      </c>
      <c r="Z1435" s="114">
        <f t="shared" si="455"/>
        <v>0</v>
      </c>
      <c r="AA1435" s="99"/>
      <c r="AB1435" s="290">
        <f t="shared" si="459"/>
        <v>0</v>
      </c>
      <c r="AC1435" s="99">
        <f t="shared" si="457"/>
        <v>0</v>
      </c>
      <c r="AD1435" s="290">
        <f t="shared" si="460"/>
        <v>0</v>
      </c>
    </row>
    <row r="1436" spans="2:30" ht="25.5">
      <c r="B1436" s="45">
        <f t="shared" si="453"/>
        <v>13</v>
      </c>
      <c r="C1436" s="116">
        <v>15.013</v>
      </c>
      <c r="D1436" s="21" t="s">
        <v>707</v>
      </c>
      <c r="E1436" s="105"/>
      <c r="F1436" s="97">
        <v>1</v>
      </c>
      <c r="G1436" s="59" t="s">
        <v>1845</v>
      </c>
      <c r="H1436" s="542">
        <v>0</v>
      </c>
      <c r="I1436" s="59" t="s">
        <v>1845</v>
      </c>
      <c r="J1436" s="126">
        <v>50000000</v>
      </c>
      <c r="K1436" s="110">
        <v>53900000</v>
      </c>
      <c r="L1436" s="205"/>
      <c r="M1436" s="51"/>
      <c r="N1436" s="51"/>
      <c r="O1436" s="51"/>
      <c r="P1436" s="51"/>
      <c r="Q1436" s="51"/>
      <c r="R1436" s="51"/>
      <c r="S1436" s="51"/>
      <c r="T1436" s="51"/>
      <c r="U1436" s="51"/>
      <c r="V1436" s="51"/>
      <c r="W1436" s="51"/>
      <c r="X1436" s="51"/>
      <c r="Y1436" s="114">
        <f t="shared" si="454"/>
        <v>30.118738404452689</v>
      </c>
      <c r="Z1436" s="114">
        <f t="shared" si="455"/>
        <v>30.118738404452689</v>
      </c>
      <c r="AA1436" s="206">
        <v>16234000</v>
      </c>
      <c r="AB1436" s="290">
        <f t="shared" si="459"/>
        <v>30.118738404452689</v>
      </c>
      <c r="AC1436" s="99">
        <f t="shared" si="457"/>
        <v>16234000</v>
      </c>
      <c r="AD1436" s="290">
        <f t="shared" si="460"/>
        <v>30.118738404452689</v>
      </c>
    </row>
    <row r="1437" spans="2:30" ht="14.25" customHeight="1">
      <c r="B1437" s="117">
        <v>123</v>
      </c>
      <c r="C1437" s="855" t="s">
        <v>708</v>
      </c>
      <c r="D1437" s="855"/>
      <c r="E1437" s="483"/>
      <c r="F1437" s="483">
        <f>SUM(F1423:F1436)</f>
        <v>13</v>
      </c>
      <c r="G1437" s="521" t="s">
        <v>1845</v>
      </c>
      <c r="H1437" s="483">
        <f>H1421</f>
        <v>0</v>
      </c>
      <c r="I1437" s="621" t="s">
        <v>1845</v>
      </c>
      <c r="J1437" s="208">
        <f>SUM(J1423:J1436)</f>
        <v>1929396000</v>
      </c>
      <c r="K1437" s="208">
        <f>SUM(K1423:K1436)</f>
        <v>2236787000</v>
      </c>
      <c r="L1437" s="295"/>
      <c r="M1437" s="28"/>
      <c r="N1437" s="28"/>
      <c r="O1437" s="28"/>
      <c r="P1437" s="28"/>
      <c r="Q1437" s="28"/>
      <c r="R1437" s="28"/>
      <c r="S1437" s="28" t="s">
        <v>1458</v>
      </c>
      <c r="T1437" s="539" t="s">
        <v>1459</v>
      </c>
      <c r="U1437" s="539" t="s">
        <v>1459</v>
      </c>
      <c r="V1437" s="539" t="s">
        <v>1459</v>
      </c>
      <c r="W1437" s="539" t="s">
        <v>1459</v>
      </c>
      <c r="X1437" s="539"/>
      <c r="Y1437" s="188">
        <f>SUM(Y1423:Y1436)/13</f>
        <v>52.549168136743305</v>
      </c>
      <c r="Z1437" s="188">
        <f>SUM(Z1423:Z1436)/13</f>
        <v>52.549168136743305</v>
      </c>
      <c r="AA1437" s="188">
        <f>SUM(AA1423:AA1436)</f>
        <v>1418002900</v>
      </c>
      <c r="AB1437" s="188">
        <f>SUM(AB1423:AB1436)/13</f>
        <v>52.549168136743305</v>
      </c>
      <c r="AC1437" s="188">
        <f>SUM(AC1423:AC1436)</f>
        <v>1418002900</v>
      </c>
      <c r="AD1437" s="188">
        <f>SUM(AD1423:AD1436)/13</f>
        <v>52.549168136743305</v>
      </c>
    </row>
    <row r="1438" spans="2:30" ht="27">
      <c r="B1438" s="66"/>
      <c r="C1438" s="63" t="s">
        <v>709</v>
      </c>
      <c r="D1438" s="96" t="s">
        <v>710</v>
      </c>
      <c r="E1438" s="484"/>
      <c r="F1438" s="484"/>
      <c r="G1438" s="472"/>
      <c r="H1438" s="484"/>
      <c r="I1438" s="472"/>
      <c r="J1438" s="127"/>
      <c r="K1438" s="65" t="s">
        <v>1</v>
      </c>
      <c r="L1438" s="66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  <c r="Z1438" s="63"/>
      <c r="AA1438" s="63"/>
      <c r="AB1438" s="63"/>
      <c r="AC1438" s="63"/>
      <c r="AD1438" s="63"/>
    </row>
    <row r="1439" spans="2:30" ht="16.5">
      <c r="B1439" s="13"/>
      <c r="C1439" s="86" t="s">
        <v>562</v>
      </c>
      <c r="D1439" s="86" t="s">
        <v>563</v>
      </c>
      <c r="E1439" s="87"/>
      <c r="F1439" s="485"/>
      <c r="G1439" s="441"/>
      <c r="H1439" s="87"/>
      <c r="I1439" s="87"/>
      <c r="J1439" s="209"/>
      <c r="K1439" s="16"/>
      <c r="L1439" s="13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90"/>
      <c r="Z1439" s="190"/>
      <c r="AA1439" s="190"/>
      <c r="AB1439" s="190"/>
      <c r="AC1439" s="190"/>
      <c r="AD1439" s="190"/>
    </row>
    <row r="1440" spans="2:30" ht="27">
      <c r="B1440" s="13">
        <f>B1439+1</f>
        <v>1</v>
      </c>
      <c r="C1440" s="74" t="s">
        <v>564</v>
      </c>
      <c r="D1440" s="74" t="s">
        <v>565</v>
      </c>
      <c r="E1440" s="89"/>
      <c r="F1440" s="204"/>
      <c r="G1440" s="193"/>
      <c r="H1440" s="89"/>
      <c r="I1440" s="89"/>
      <c r="J1440" s="15">
        <v>356040000</v>
      </c>
      <c r="K1440" s="99">
        <v>151220000</v>
      </c>
      <c r="L1440" s="13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53">
        <v>100</v>
      </c>
      <c r="Z1440" s="53">
        <v>92</v>
      </c>
      <c r="AA1440" s="22">
        <v>138332300</v>
      </c>
      <c r="AB1440" s="19">
        <f>AA1440/K1440*100</f>
        <v>91.477516201560633</v>
      </c>
      <c r="AC1440" s="22">
        <f>AA1440</f>
        <v>138332300</v>
      </c>
      <c r="AD1440" s="19">
        <f>AC1440/K1440*100</f>
        <v>91.477516201560633</v>
      </c>
    </row>
    <row r="1441" spans="2:30" ht="40.5">
      <c r="B1441" s="13"/>
      <c r="C1441" s="86" t="s">
        <v>711</v>
      </c>
      <c r="D1441" s="86" t="s">
        <v>712</v>
      </c>
      <c r="E1441" s="87"/>
      <c r="F1441" s="485"/>
      <c r="G1441" s="441"/>
      <c r="H1441" s="87"/>
      <c r="I1441" s="87"/>
      <c r="J1441" s="209"/>
      <c r="K1441" s="16"/>
      <c r="L1441" s="13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90"/>
      <c r="Z1441" s="190"/>
      <c r="AA1441" s="190"/>
      <c r="AB1441" s="19"/>
      <c r="AC1441" s="190"/>
      <c r="AD1441" s="19"/>
    </row>
    <row r="1442" spans="2:30" ht="40.5">
      <c r="B1442" s="13">
        <f>B1440+1</f>
        <v>2</v>
      </c>
      <c r="C1442" s="74" t="s">
        <v>600</v>
      </c>
      <c r="D1442" s="74" t="s">
        <v>713</v>
      </c>
      <c r="E1442" s="89"/>
      <c r="F1442" s="204"/>
      <c r="G1442" s="193"/>
      <c r="H1442" s="89"/>
      <c r="I1442" s="89"/>
      <c r="J1442" s="15">
        <v>25000000</v>
      </c>
      <c r="K1442" s="99">
        <v>44200000</v>
      </c>
      <c r="L1442" s="13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53">
        <v>100</v>
      </c>
      <c r="Z1442" s="53">
        <v>93.3</v>
      </c>
      <c r="AA1442" s="22">
        <v>41239500</v>
      </c>
      <c r="AB1442" s="19">
        <f>AA1442/K1442*100</f>
        <v>93.302036199095014</v>
      </c>
      <c r="AC1442" s="22">
        <f>AA1442</f>
        <v>41239500</v>
      </c>
      <c r="AD1442" s="19">
        <f>AC1442/K1442*100</f>
        <v>93.302036199095014</v>
      </c>
    </row>
    <row r="1443" spans="2:30" ht="27">
      <c r="B1443" s="13">
        <f t="shared" ref="B1443:B1454" si="461">B1442+1</f>
        <v>3</v>
      </c>
      <c r="C1443" s="74" t="s">
        <v>664</v>
      </c>
      <c r="D1443" s="74" t="s">
        <v>714</v>
      </c>
      <c r="E1443" s="89"/>
      <c r="F1443" s="204"/>
      <c r="G1443" s="193"/>
      <c r="H1443" s="89"/>
      <c r="I1443" s="89"/>
      <c r="J1443" s="15">
        <v>9960000</v>
      </c>
      <c r="K1443" s="99">
        <v>9960000</v>
      </c>
      <c r="L1443" s="13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53">
        <v>100</v>
      </c>
      <c r="Z1443" s="53">
        <v>100</v>
      </c>
      <c r="AA1443" s="22">
        <v>9960000</v>
      </c>
      <c r="AB1443" s="19">
        <f>AA1443/K1443*100</f>
        <v>100</v>
      </c>
      <c r="AC1443" s="22">
        <f t="shared" ref="AC1443:AC1448" si="462">AA1443</f>
        <v>9960000</v>
      </c>
      <c r="AD1443" s="19">
        <f t="shared" ref="AD1443:AD1469" si="463">AC1443/K1443*100</f>
        <v>100</v>
      </c>
    </row>
    <row r="1444" spans="2:30">
      <c r="B1444" s="13">
        <f t="shared" si="461"/>
        <v>4</v>
      </c>
      <c r="C1444" s="74" t="s">
        <v>666</v>
      </c>
      <c r="D1444" s="74" t="s">
        <v>715</v>
      </c>
      <c r="E1444" s="89"/>
      <c r="F1444" s="204"/>
      <c r="G1444" s="193"/>
      <c r="H1444" s="89"/>
      <c r="I1444" s="89"/>
      <c r="J1444" s="15">
        <v>15000000</v>
      </c>
      <c r="K1444" s="99">
        <v>15000000</v>
      </c>
      <c r="L1444" s="13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53">
        <v>100</v>
      </c>
      <c r="Z1444" s="53">
        <v>100</v>
      </c>
      <c r="AA1444" s="22">
        <v>15000000</v>
      </c>
      <c r="AB1444" s="19">
        <f t="shared" ref="AB1444:AB1469" si="464">AA1444/K1444*100</f>
        <v>100</v>
      </c>
      <c r="AC1444" s="22">
        <f t="shared" si="462"/>
        <v>15000000</v>
      </c>
      <c r="AD1444" s="19">
        <f t="shared" si="463"/>
        <v>100</v>
      </c>
    </row>
    <row r="1445" spans="2:30" ht="27">
      <c r="B1445" s="13">
        <f t="shared" si="461"/>
        <v>5</v>
      </c>
      <c r="C1445" s="74" t="s">
        <v>602</v>
      </c>
      <c r="D1445" s="74" t="s">
        <v>716</v>
      </c>
      <c r="E1445" s="89"/>
      <c r="F1445" s="204"/>
      <c r="G1445" s="193"/>
      <c r="H1445" s="89"/>
      <c r="I1445" s="89"/>
      <c r="J1445" s="15">
        <v>116250000</v>
      </c>
      <c r="K1445" s="99">
        <v>116250000</v>
      </c>
      <c r="L1445" s="13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53">
        <v>100</v>
      </c>
      <c r="Z1445" s="53">
        <v>96.81</v>
      </c>
      <c r="AA1445" s="22">
        <v>112540604</v>
      </c>
      <c r="AB1445" s="19">
        <f t="shared" si="464"/>
        <v>96.809121720430099</v>
      </c>
      <c r="AC1445" s="22">
        <f t="shared" si="462"/>
        <v>112540604</v>
      </c>
      <c r="AD1445" s="19">
        <f t="shared" si="463"/>
        <v>96.809121720430099</v>
      </c>
    </row>
    <row r="1446" spans="2:30">
      <c r="B1446" s="13">
        <f t="shared" si="461"/>
        <v>6</v>
      </c>
      <c r="C1446" s="74" t="s">
        <v>604</v>
      </c>
      <c r="D1446" s="74" t="s">
        <v>717</v>
      </c>
      <c r="E1446" s="89"/>
      <c r="F1446" s="204"/>
      <c r="G1446" s="193"/>
      <c r="H1446" s="89"/>
      <c r="I1446" s="89"/>
      <c r="J1446" s="15">
        <v>15000000</v>
      </c>
      <c r="K1446" s="99">
        <v>15000000</v>
      </c>
      <c r="L1446" s="13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53">
        <v>100</v>
      </c>
      <c r="Z1446" s="53">
        <v>90</v>
      </c>
      <c r="AA1446" s="22">
        <v>13435000</v>
      </c>
      <c r="AB1446" s="19">
        <f t="shared" si="464"/>
        <v>89.566666666666677</v>
      </c>
      <c r="AC1446" s="22">
        <f t="shared" si="462"/>
        <v>13435000</v>
      </c>
      <c r="AD1446" s="19">
        <f t="shared" si="463"/>
        <v>89.566666666666677</v>
      </c>
    </row>
    <row r="1447" spans="2:30">
      <c r="B1447" s="13">
        <f t="shared" si="461"/>
        <v>7</v>
      </c>
      <c r="C1447" s="74" t="s">
        <v>578</v>
      </c>
      <c r="D1447" s="21" t="s">
        <v>718</v>
      </c>
      <c r="E1447" s="89"/>
      <c r="F1447" s="204"/>
      <c r="G1447" s="193"/>
      <c r="H1447" s="89"/>
      <c r="I1447" s="89"/>
      <c r="J1447" s="15">
        <v>15000000</v>
      </c>
      <c r="K1447" s="99">
        <v>15000000</v>
      </c>
      <c r="L1447" s="13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53">
        <v>100</v>
      </c>
      <c r="Z1447" s="53">
        <v>100</v>
      </c>
      <c r="AA1447" s="22">
        <v>15000000</v>
      </c>
      <c r="AB1447" s="19">
        <f t="shared" si="464"/>
        <v>100</v>
      </c>
      <c r="AC1447" s="22">
        <f t="shared" si="462"/>
        <v>15000000</v>
      </c>
      <c r="AD1447" s="19">
        <f t="shared" si="463"/>
        <v>100</v>
      </c>
    </row>
    <row r="1448" spans="2:30">
      <c r="B1448" s="13">
        <f t="shared" si="461"/>
        <v>8</v>
      </c>
      <c r="C1448" s="81">
        <v>15.012</v>
      </c>
      <c r="D1448" s="21" t="s">
        <v>719</v>
      </c>
      <c r="E1448" s="89"/>
      <c r="F1448" s="204"/>
      <c r="G1448" s="193"/>
      <c r="H1448" s="89"/>
      <c r="I1448" s="89"/>
      <c r="J1448" s="15">
        <v>10000000</v>
      </c>
      <c r="K1448" s="99">
        <v>10000000</v>
      </c>
      <c r="L1448" s="13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53">
        <v>100</v>
      </c>
      <c r="Z1448" s="53">
        <v>100</v>
      </c>
      <c r="AA1448" s="22">
        <v>9996000</v>
      </c>
      <c r="AB1448" s="19">
        <f t="shared" si="464"/>
        <v>99.960000000000008</v>
      </c>
      <c r="AC1448" s="22">
        <f t="shared" si="462"/>
        <v>9996000</v>
      </c>
      <c r="AD1448" s="19">
        <f t="shared" si="463"/>
        <v>99.960000000000008</v>
      </c>
    </row>
    <row r="1449" spans="2:30" ht="27">
      <c r="B1449" s="13"/>
      <c r="C1449" s="86" t="s">
        <v>709</v>
      </c>
      <c r="D1449" s="86" t="s">
        <v>26</v>
      </c>
      <c r="E1449" s="87"/>
      <c r="F1449" s="485"/>
      <c r="G1449" s="441"/>
      <c r="H1449" s="87"/>
      <c r="I1449" s="87"/>
      <c r="J1449" s="209"/>
      <c r="K1449" s="16"/>
      <c r="L1449" s="168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90"/>
      <c r="Z1449" s="190"/>
      <c r="AA1449" s="190"/>
      <c r="AB1449" s="19"/>
      <c r="AC1449" s="190"/>
      <c r="AD1449" s="19"/>
    </row>
    <row r="1450" spans="2:30">
      <c r="B1450" s="13">
        <f>B1448+1</f>
        <v>9</v>
      </c>
      <c r="C1450" s="74" t="s">
        <v>203</v>
      </c>
      <c r="D1450" s="74" t="s">
        <v>28</v>
      </c>
      <c r="E1450" s="89"/>
      <c r="F1450" s="204"/>
      <c r="G1450" s="193"/>
      <c r="H1450" s="89"/>
      <c r="I1450" s="89"/>
      <c r="J1450" s="15">
        <v>217331000</v>
      </c>
      <c r="K1450" s="99">
        <v>549602000</v>
      </c>
      <c r="L1450" s="13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53">
        <v>100</v>
      </c>
      <c r="Z1450" s="53">
        <v>100</v>
      </c>
      <c r="AA1450" s="22">
        <v>533058586</v>
      </c>
      <c r="AB1450" s="19">
        <f t="shared" si="464"/>
        <v>96.989928348150116</v>
      </c>
      <c r="AC1450" s="22">
        <f>AA1450</f>
        <v>533058586</v>
      </c>
      <c r="AD1450" s="19">
        <f t="shared" si="463"/>
        <v>96.989928348150116</v>
      </c>
    </row>
    <row r="1451" spans="2:30">
      <c r="B1451" s="13">
        <f t="shared" si="461"/>
        <v>10</v>
      </c>
      <c r="C1451" s="74" t="s">
        <v>210</v>
      </c>
      <c r="D1451" s="74" t="s">
        <v>30</v>
      </c>
      <c r="E1451" s="89"/>
      <c r="F1451" s="204"/>
      <c r="G1451" s="193"/>
      <c r="H1451" s="89"/>
      <c r="I1451" s="89"/>
      <c r="J1451" s="15">
        <v>96735000</v>
      </c>
      <c r="K1451" s="99">
        <v>109999000</v>
      </c>
      <c r="L1451" s="13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53">
        <v>100</v>
      </c>
      <c r="Z1451" s="53">
        <v>100</v>
      </c>
      <c r="AA1451" s="22">
        <v>109999000</v>
      </c>
      <c r="AB1451" s="19">
        <f t="shared" si="464"/>
        <v>100</v>
      </c>
      <c r="AC1451" s="22">
        <f t="shared" ref="AC1451:AC1454" si="465">AA1451</f>
        <v>109999000</v>
      </c>
      <c r="AD1451" s="19">
        <f t="shared" si="463"/>
        <v>100</v>
      </c>
    </row>
    <row r="1452" spans="2:30">
      <c r="B1452" s="13">
        <f t="shared" si="461"/>
        <v>11</v>
      </c>
      <c r="C1452" s="74" t="s">
        <v>204</v>
      </c>
      <c r="D1452" s="74" t="s">
        <v>32</v>
      </c>
      <c r="E1452" s="89"/>
      <c r="F1452" s="204"/>
      <c r="G1452" s="193"/>
      <c r="H1452" s="89"/>
      <c r="I1452" s="89"/>
      <c r="J1452" s="15">
        <v>403812000</v>
      </c>
      <c r="K1452" s="99">
        <v>459178000</v>
      </c>
      <c r="L1452" s="13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53">
        <v>100</v>
      </c>
      <c r="Z1452" s="53">
        <v>99.5</v>
      </c>
      <c r="AA1452" s="22">
        <v>456832774</v>
      </c>
      <c r="AB1452" s="19">
        <f t="shared" si="464"/>
        <v>99.489255582802315</v>
      </c>
      <c r="AC1452" s="22">
        <f t="shared" si="465"/>
        <v>456832774</v>
      </c>
      <c r="AD1452" s="19">
        <f t="shared" si="463"/>
        <v>99.489255582802315</v>
      </c>
    </row>
    <row r="1453" spans="2:30">
      <c r="B1453" s="13">
        <f t="shared" si="461"/>
        <v>12</v>
      </c>
      <c r="C1453" s="74" t="s">
        <v>205</v>
      </c>
      <c r="D1453" s="74" t="s">
        <v>34</v>
      </c>
      <c r="E1453" s="89"/>
      <c r="F1453" s="204"/>
      <c r="G1453" s="193"/>
      <c r="H1453" s="89"/>
      <c r="I1453" s="89"/>
      <c r="J1453" s="15">
        <v>29900000</v>
      </c>
      <c r="K1453" s="99">
        <v>146000000</v>
      </c>
      <c r="L1453" s="13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53">
        <v>100</v>
      </c>
      <c r="Z1453" s="53">
        <v>100</v>
      </c>
      <c r="AA1453" s="22">
        <v>146000000</v>
      </c>
      <c r="AB1453" s="19">
        <f t="shared" si="464"/>
        <v>100</v>
      </c>
      <c r="AC1453" s="22">
        <f t="shared" si="465"/>
        <v>146000000</v>
      </c>
      <c r="AD1453" s="19">
        <f t="shared" si="463"/>
        <v>100</v>
      </c>
    </row>
    <row r="1454" spans="2:30">
      <c r="B1454" s="13">
        <f t="shared" si="461"/>
        <v>13</v>
      </c>
      <c r="C1454" s="74" t="s">
        <v>215</v>
      </c>
      <c r="D1454" s="74" t="s">
        <v>36</v>
      </c>
      <c r="E1454" s="89"/>
      <c r="F1454" s="204"/>
      <c r="G1454" s="193"/>
      <c r="H1454" s="89"/>
      <c r="I1454" s="89"/>
      <c r="J1454" s="15">
        <v>6000000</v>
      </c>
      <c r="K1454" s="99">
        <v>10000000</v>
      </c>
      <c r="L1454" s="13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53">
        <v>100</v>
      </c>
      <c r="Z1454" s="53">
        <v>100</v>
      </c>
      <c r="AA1454" s="22">
        <v>10000000</v>
      </c>
      <c r="AB1454" s="19">
        <f t="shared" si="464"/>
        <v>100</v>
      </c>
      <c r="AC1454" s="22">
        <f t="shared" si="465"/>
        <v>10000000</v>
      </c>
      <c r="AD1454" s="19">
        <f t="shared" si="463"/>
        <v>100</v>
      </c>
    </row>
    <row r="1455" spans="2:30" ht="16.5">
      <c r="B1455" s="13"/>
      <c r="C1455" s="86" t="s">
        <v>720</v>
      </c>
      <c r="D1455" s="86" t="s">
        <v>721</v>
      </c>
      <c r="E1455" s="87"/>
      <c r="F1455" s="485"/>
      <c r="G1455" s="441"/>
      <c r="H1455" s="87"/>
      <c r="I1455" s="87"/>
      <c r="J1455" s="209"/>
      <c r="K1455" s="16"/>
      <c r="L1455" s="13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90"/>
      <c r="Z1455" s="190"/>
      <c r="AA1455" s="190"/>
      <c r="AB1455" s="19"/>
      <c r="AC1455" s="190"/>
      <c r="AD1455" s="19"/>
    </row>
    <row r="1456" spans="2:30">
      <c r="B1456" s="13">
        <f>B1454+1</f>
        <v>14</v>
      </c>
      <c r="C1456" s="74" t="s">
        <v>219</v>
      </c>
      <c r="D1456" s="74" t="s">
        <v>722</v>
      </c>
      <c r="E1456" s="89"/>
      <c r="F1456" s="204"/>
      <c r="G1456" s="193"/>
      <c r="H1456" s="89"/>
      <c r="I1456" s="89"/>
      <c r="J1456" s="15">
        <v>77212000</v>
      </c>
      <c r="K1456" s="99">
        <v>77212000</v>
      </c>
      <c r="L1456" s="10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53">
        <v>100</v>
      </c>
      <c r="Z1456" s="53">
        <v>98.76</v>
      </c>
      <c r="AA1456" s="22">
        <v>76250950</v>
      </c>
      <c r="AB1456" s="19">
        <f t="shared" si="464"/>
        <v>98.755310055431806</v>
      </c>
      <c r="AC1456" s="22">
        <f>AA1456</f>
        <v>76250950</v>
      </c>
      <c r="AD1456" s="19">
        <f t="shared" si="463"/>
        <v>98.755310055431806</v>
      </c>
    </row>
    <row r="1457" spans="2:30" ht="27">
      <c r="B1457" s="13">
        <f>B1456+1</f>
        <v>15</v>
      </c>
      <c r="C1457" s="74" t="s">
        <v>221</v>
      </c>
      <c r="D1457" s="74" t="s">
        <v>723</v>
      </c>
      <c r="E1457" s="89"/>
      <c r="F1457" s="204"/>
      <c r="G1457" s="193"/>
      <c r="H1457" s="89"/>
      <c r="I1457" s="89"/>
      <c r="J1457" s="15">
        <v>16760000</v>
      </c>
      <c r="K1457" s="99">
        <v>16760000</v>
      </c>
      <c r="L1457" s="10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53">
        <v>100</v>
      </c>
      <c r="Z1457" s="53">
        <v>100</v>
      </c>
      <c r="AA1457" s="22">
        <v>16759900</v>
      </c>
      <c r="AB1457" s="19">
        <f t="shared" si="464"/>
        <v>99.999403341288783</v>
      </c>
      <c r="AC1457" s="22">
        <f>AA1457</f>
        <v>16759900</v>
      </c>
      <c r="AD1457" s="19">
        <f t="shared" si="463"/>
        <v>99.999403341288783</v>
      </c>
    </row>
    <row r="1458" spans="2:30" ht="27">
      <c r="B1458" s="13">
        <f>B1457+1</f>
        <v>16</v>
      </c>
      <c r="C1458" s="74" t="s">
        <v>600</v>
      </c>
      <c r="D1458" s="74" t="s">
        <v>724</v>
      </c>
      <c r="E1458" s="89"/>
      <c r="F1458" s="204"/>
      <c r="G1458" s="193"/>
      <c r="H1458" s="89"/>
      <c r="I1458" s="89"/>
      <c r="J1458" s="15">
        <v>82010000</v>
      </c>
      <c r="K1458" s="99">
        <v>92725000</v>
      </c>
      <c r="L1458" s="13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53">
        <v>100</v>
      </c>
      <c r="Z1458" s="53">
        <v>100</v>
      </c>
      <c r="AA1458" s="22">
        <v>92724900</v>
      </c>
      <c r="AB1458" s="19">
        <f t="shared" si="464"/>
        <v>99.999892154219467</v>
      </c>
      <c r="AC1458" s="22">
        <f>AA1458</f>
        <v>92724900</v>
      </c>
      <c r="AD1458" s="19">
        <f t="shared" si="463"/>
        <v>99.999892154219467</v>
      </c>
    </row>
    <row r="1459" spans="2:30" ht="27">
      <c r="B1459" s="13">
        <f>B1458+1</f>
        <v>17</v>
      </c>
      <c r="C1459" s="74" t="s">
        <v>564</v>
      </c>
      <c r="D1459" s="74" t="s">
        <v>725</v>
      </c>
      <c r="E1459" s="89"/>
      <c r="F1459" s="204"/>
      <c r="G1459" s="193"/>
      <c r="H1459" s="89"/>
      <c r="I1459" s="89"/>
      <c r="J1459" s="15">
        <v>22000000</v>
      </c>
      <c r="K1459" s="99">
        <v>35020000</v>
      </c>
      <c r="L1459" s="10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53">
        <v>100</v>
      </c>
      <c r="Z1459" s="53">
        <v>100</v>
      </c>
      <c r="AA1459" s="22">
        <v>35019900</v>
      </c>
      <c r="AB1459" s="19">
        <f t="shared" si="464"/>
        <v>99.999714448886351</v>
      </c>
      <c r="AC1459" s="22">
        <f>AA1459</f>
        <v>35019900</v>
      </c>
      <c r="AD1459" s="19">
        <f t="shared" si="463"/>
        <v>99.999714448886351</v>
      </c>
    </row>
    <row r="1460" spans="2:30">
      <c r="B1460" s="45">
        <f>B1459+1</f>
        <v>18</v>
      </c>
      <c r="C1460" s="93" t="s">
        <v>644</v>
      </c>
      <c r="D1460" s="677" t="s">
        <v>726</v>
      </c>
      <c r="E1460" s="186"/>
      <c r="F1460" s="489"/>
      <c r="G1460" s="240"/>
      <c r="H1460" s="186"/>
      <c r="I1460" s="186"/>
      <c r="J1460" s="79">
        <v>15000000</v>
      </c>
      <c r="K1460" s="102">
        <v>15000000</v>
      </c>
      <c r="L1460" s="109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55">
        <v>100</v>
      </c>
      <c r="Z1460" s="55">
        <v>100</v>
      </c>
      <c r="AA1460" s="73">
        <v>15000000</v>
      </c>
      <c r="AB1460" s="46">
        <f t="shared" si="464"/>
        <v>100</v>
      </c>
      <c r="AC1460" s="73">
        <f>AA1460</f>
        <v>15000000</v>
      </c>
      <c r="AD1460" s="46">
        <f t="shared" si="463"/>
        <v>100</v>
      </c>
    </row>
    <row r="1461" spans="2:30" ht="27">
      <c r="B1461" s="66"/>
      <c r="C1461" s="120" t="s">
        <v>727</v>
      </c>
      <c r="D1461" s="120" t="s">
        <v>728</v>
      </c>
      <c r="E1461" s="255"/>
      <c r="F1461" s="487"/>
      <c r="G1461" s="474"/>
      <c r="H1461" s="255"/>
      <c r="I1461" s="255"/>
      <c r="J1461" s="612"/>
      <c r="K1461" s="127"/>
      <c r="L1461" s="782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783"/>
      <c r="Z1461" s="783"/>
      <c r="AA1461" s="783"/>
      <c r="AB1461" s="134"/>
      <c r="AC1461" s="784"/>
      <c r="AD1461" s="134"/>
    </row>
    <row r="1462" spans="2:30" ht="40.5">
      <c r="B1462" s="13">
        <f>B1460+1</f>
        <v>19</v>
      </c>
      <c r="C1462" s="74" t="s">
        <v>375</v>
      </c>
      <c r="D1462" s="74" t="s">
        <v>729</v>
      </c>
      <c r="E1462" s="89"/>
      <c r="F1462" s="204"/>
      <c r="G1462" s="193"/>
      <c r="H1462" s="89"/>
      <c r="I1462" s="89"/>
      <c r="J1462" s="15">
        <v>30000000</v>
      </c>
      <c r="K1462" s="99">
        <v>30000000</v>
      </c>
      <c r="L1462" s="13"/>
      <c r="M1462" s="25"/>
      <c r="N1462" s="49"/>
      <c r="O1462" s="401"/>
      <c r="P1462" s="401"/>
      <c r="Q1462" s="17"/>
      <c r="R1462" s="17"/>
      <c r="S1462" s="17"/>
      <c r="T1462" s="17"/>
      <c r="U1462" s="17"/>
      <c r="V1462" s="17"/>
      <c r="W1462" s="17"/>
      <c r="X1462" s="17"/>
      <c r="Y1462" s="53">
        <v>100</v>
      </c>
      <c r="Z1462" s="53">
        <v>100</v>
      </c>
      <c r="AA1462" s="22">
        <v>29999900</v>
      </c>
      <c r="AB1462" s="19">
        <f t="shared" si="464"/>
        <v>99.99966666666667</v>
      </c>
      <c r="AC1462" s="22">
        <f>AA1462</f>
        <v>29999900</v>
      </c>
      <c r="AD1462" s="19">
        <f t="shared" si="463"/>
        <v>99.99966666666667</v>
      </c>
    </row>
    <row r="1463" spans="2:30">
      <c r="B1463" s="13">
        <f>B1462+1</f>
        <v>20</v>
      </c>
      <c r="C1463" s="81">
        <v>16.003</v>
      </c>
      <c r="D1463" s="21" t="s">
        <v>730</v>
      </c>
      <c r="E1463" s="89"/>
      <c r="F1463" s="204"/>
      <c r="G1463" s="193"/>
      <c r="H1463" s="89"/>
      <c r="I1463" s="89"/>
      <c r="J1463" s="15">
        <v>7200000</v>
      </c>
      <c r="K1463" s="99">
        <v>7200000</v>
      </c>
      <c r="L1463" s="13"/>
      <c r="M1463" s="25"/>
      <c r="N1463" s="49"/>
      <c r="O1463" s="401"/>
      <c r="P1463" s="401"/>
      <c r="Q1463" s="17"/>
      <c r="R1463" s="17"/>
      <c r="S1463" s="17"/>
      <c r="T1463" s="17"/>
      <c r="U1463" s="17"/>
      <c r="V1463" s="17"/>
      <c r="W1463" s="17"/>
      <c r="X1463" s="17"/>
      <c r="Y1463" s="53">
        <v>100</v>
      </c>
      <c r="Z1463" s="53">
        <v>100</v>
      </c>
      <c r="AA1463" s="22">
        <v>7200000</v>
      </c>
      <c r="AB1463" s="19">
        <f t="shared" si="464"/>
        <v>100</v>
      </c>
      <c r="AC1463" s="53">
        <f>AA1463</f>
        <v>7200000</v>
      </c>
      <c r="AD1463" s="19">
        <f t="shared" si="463"/>
        <v>100</v>
      </c>
    </row>
    <row r="1464" spans="2:30" ht="25.5">
      <c r="B1464" s="13">
        <f>B1463+1</f>
        <v>21</v>
      </c>
      <c r="C1464" s="81">
        <v>16.004000000000001</v>
      </c>
      <c r="D1464" s="21" t="s">
        <v>731</v>
      </c>
      <c r="E1464" s="191"/>
      <c r="F1464" s="528"/>
      <c r="G1464" s="527"/>
      <c r="H1464" s="191"/>
      <c r="I1464" s="191"/>
      <c r="J1464" s="15">
        <v>16870000</v>
      </c>
      <c r="K1464" s="99">
        <v>16870000</v>
      </c>
      <c r="L1464" s="13"/>
      <c r="M1464" s="25"/>
      <c r="N1464" s="49"/>
      <c r="O1464" s="401"/>
      <c r="P1464" s="401"/>
      <c r="Q1464" s="17"/>
      <c r="R1464" s="17"/>
      <c r="S1464" s="17"/>
      <c r="T1464" s="17"/>
      <c r="U1464" s="17"/>
      <c r="V1464" s="17"/>
      <c r="W1464" s="17"/>
      <c r="X1464" s="17"/>
      <c r="Y1464" s="25">
        <v>100</v>
      </c>
      <c r="Z1464" s="25">
        <v>100</v>
      </c>
      <c r="AA1464" s="25">
        <v>16870000</v>
      </c>
      <c r="AB1464" s="19">
        <f t="shared" si="464"/>
        <v>100</v>
      </c>
      <c r="AC1464" s="259">
        <f>AA1464</f>
        <v>16870000</v>
      </c>
      <c r="AD1464" s="19">
        <f t="shared" si="463"/>
        <v>100</v>
      </c>
    </row>
    <row r="1465" spans="2:30" ht="38.25">
      <c r="B1465" s="13"/>
      <c r="C1465" s="86" t="s">
        <v>732</v>
      </c>
      <c r="D1465" s="210" t="s">
        <v>733</v>
      </c>
      <c r="E1465" s="191"/>
      <c r="F1465" s="528"/>
      <c r="G1465" s="527"/>
      <c r="H1465" s="191"/>
      <c r="I1465" s="191"/>
      <c r="J1465" s="15"/>
      <c r="K1465" s="150"/>
      <c r="L1465" s="13"/>
      <c r="M1465" s="25"/>
      <c r="N1465" s="49"/>
      <c r="O1465" s="401"/>
      <c r="P1465" s="401"/>
      <c r="Q1465" s="17"/>
      <c r="R1465" s="17"/>
      <c r="S1465" s="17"/>
      <c r="T1465" s="17"/>
      <c r="U1465" s="17"/>
      <c r="V1465" s="17"/>
      <c r="W1465" s="17"/>
      <c r="X1465" s="17"/>
      <c r="Y1465" s="190"/>
      <c r="Z1465" s="190"/>
      <c r="AA1465" s="190"/>
      <c r="AB1465" s="19"/>
      <c r="AC1465" s="192"/>
      <c r="AD1465" s="19"/>
    </row>
    <row r="1466" spans="2:30">
      <c r="B1466" s="13">
        <f>B1464+1</f>
        <v>22</v>
      </c>
      <c r="C1466" s="74" t="s">
        <v>238</v>
      </c>
      <c r="D1466" s="74" t="s">
        <v>734</v>
      </c>
      <c r="E1466" s="87"/>
      <c r="F1466" s="485"/>
      <c r="G1466" s="441"/>
      <c r="H1466" s="87"/>
      <c r="I1466" s="87"/>
      <c r="J1466" s="15">
        <v>1407170000</v>
      </c>
      <c r="K1466" s="99">
        <v>1475174000</v>
      </c>
      <c r="L1466" s="13"/>
      <c r="M1466" s="25"/>
      <c r="N1466" s="49"/>
      <c r="O1466" s="401"/>
      <c r="P1466" s="401"/>
      <c r="Q1466" s="17"/>
      <c r="R1466" s="17"/>
      <c r="S1466" s="17"/>
      <c r="T1466" s="17"/>
      <c r="U1466" s="17"/>
      <c r="V1466" s="17"/>
      <c r="W1466" s="17"/>
      <c r="X1466" s="17"/>
      <c r="Y1466" s="145">
        <v>100</v>
      </c>
      <c r="Z1466" s="145">
        <v>99.72</v>
      </c>
      <c r="AA1466" s="192">
        <v>1470973900</v>
      </c>
      <c r="AB1466" s="19">
        <f t="shared" si="464"/>
        <v>99.715281044812343</v>
      </c>
      <c r="AC1466" s="192"/>
      <c r="AD1466" s="19">
        <f t="shared" si="463"/>
        <v>0</v>
      </c>
    </row>
    <row r="1467" spans="2:30" ht="27">
      <c r="B1467" s="13">
        <f>B1466+1</f>
        <v>23</v>
      </c>
      <c r="C1467" s="74" t="s">
        <v>240</v>
      </c>
      <c r="D1467" s="74" t="s">
        <v>735</v>
      </c>
      <c r="E1467" s="89"/>
      <c r="F1467" s="204"/>
      <c r="G1467" s="193"/>
      <c r="H1467" s="89"/>
      <c r="I1467" s="89"/>
      <c r="J1467" s="15">
        <v>61281000</v>
      </c>
      <c r="K1467" s="99">
        <v>52281000</v>
      </c>
      <c r="L1467" s="13"/>
      <c r="M1467" s="25"/>
      <c r="N1467" s="49"/>
      <c r="O1467" s="401"/>
      <c r="P1467" s="401"/>
      <c r="Q1467" s="17"/>
      <c r="R1467" s="17"/>
      <c r="S1467" s="17"/>
      <c r="T1467" s="17"/>
      <c r="U1467" s="17"/>
      <c r="V1467" s="17"/>
      <c r="W1467" s="17"/>
      <c r="X1467" s="17"/>
      <c r="Y1467" s="53">
        <v>100</v>
      </c>
      <c r="Z1467" s="53">
        <v>100</v>
      </c>
      <c r="AA1467" s="22">
        <v>52280950</v>
      </c>
      <c r="AB1467" s="19">
        <f t="shared" si="464"/>
        <v>99.999904362961686</v>
      </c>
      <c r="AC1467" s="22">
        <f>AA1467</f>
        <v>52280950</v>
      </c>
      <c r="AD1467" s="19">
        <f t="shared" si="463"/>
        <v>99.999904362961686</v>
      </c>
    </row>
    <row r="1468" spans="2:30">
      <c r="B1468" s="45">
        <f>B1467+1</f>
        <v>24</v>
      </c>
      <c r="C1468" s="93" t="s">
        <v>736</v>
      </c>
      <c r="D1468" s="74" t="s">
        <v>737</v>
      </c>
      <c r="E1468" s="89"/>
      <c r="F1468" s="204"/>
      <c r="G1468" s="193"/>
      <c r="H1468" s="89"/>
      <c r="I1468" s="89"/>
      <c r="J1468" s="15">
        <v>84000000</v>
      </c>
      <c r="K1468" s="99">
        <v>84000000</v>
      </c>
      <c r="L1468" s="13"/>
      <c r="M1468" s="22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53">
        <v>100</v>
      </c>
      <c r="Z1468" s="53">
        <v>100</v>
      </c>
      <c r="AA1468" s="22">
        <v>83999900</v>
      </c>
      <c r="AB1468" s="19">
        <f t="shared" si="464"/>
        <v>99.999880952380948</v>
      </c>
      <c r="AC1468" s="22"/>
      <c r="AD1468" s="19">
        <f t="shared" si="463"/>
        <v>0</v>
      </c>
    </row>
    <row r="1469" spans="2:30" ht="32.25" customHeight="1">
      <c r="B1469" s="13">
        <f>B1468+1</f>
        <v>25</v>
      </c>
      <c r="C1469" s="93" t="s">
        <v>353</v>
      </c>
      <c r="D1469" s="125" t="s">
        <v>738</v>
      </c>
      <c r="E1469" s="105"/>
      <c r="F1469" s="347"/>
      <c r="G1469" s="498"/>
      <c r="H1469" s="105"/>
      <c r="I1469" s="105"/>
      <c r="J1469" s="126">
        <v>20000000</v>
      </c>
      <c r="K1469" s="99">
        <v>20000000</v>
      </c>
      <c r="L1469" s="47"/>
      <c r="M1469" s="112"/>
      <c r="N1469" s="51"/>
      <c r="O1469" s="51"/>
      <c r="P1469" s="51"/>
      <c r="Q1469" s="51"/>
      <c r="R1469" s="51"/>
      <c r="S1469" s="51"/>
      <c r="T1469" s="51"/>
      <c r="U1469" s="51"/>
      <c r="V1469" s="51"/>
      <c r="W1469" s="51"/>
      <c r="X1469" s="51"/>
      <c r="Y1469" s="111">
        <v>100</v>
      </c>
      <c r="Z1469" s="111">
        <v>100</v>
      </c>
      <c r="AA1469" s="112">
        <v>2902141</v>
      </c>
      <c r="AB1469" s="19">
        <f t="shared" si="464"/>
        <v>14.510704999999998</v>
      </c>
      <c r="AC1469" s="112"/>
      <c r="AD1469" s="19">
        <f t="shared" si="463"/>
        <v>0</v>
      </c>
    </row>
    <row r="1470" spans="2:30" ht="21.75" customHeight="1">
      <c r="B1470" s="37">
        <v>124</v>
      </c>
      <c r="C1470" s="855" t="s">
        <v>739</v>
      </c>
      <c r="D1470" s="855"/>
      <c r="E1470" s="483"/>
      <c r="F1470" s="483">
        <v>25</v>
      </c>
      <c r="G1470" s="468"/>
      <c r="H1470" s="483"/>
      <c r="I1470" s="468"/>
      <c r="J1470" s="189">
        <f>SUM(J1440:J1469)</f>
        <v>3155531000</v>
      </c>
      <c r="K1470" s="189">
        <f>SUM(K1440:K1469)</f>
        <v>3573651000</v>
      </c>
      <c r="L1470" s="37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188">
        <f>SUM(Y1440:Y1469)/25</f>
        <v>100</v>
      </c>
      <c r="Z1470" s="188">
        <f>SUM(Z1440:Z1469)/25</f>
        <v>98.803599999999989</v>
      </c>
      <c r="AA1470" s="189">
        <f>SUM(AA1440:AA1469)</f>
        <v>3511376205</v>
      </c>
      <c r="AB1470" s="188">
        <f>SUM(AB1440:AB1469)/25</f>
        <v>95.222971309814127</v>
      </c>
      <c r="AC1470" s="189">
        <f>SUM(AC1440:AC1469)</f>
        <v>1953500264</v>
      </c>
      <c r="AD1470" s="188">
        <f>SUM(AD1440:AD1469)/25</f>
        <v>86.653936629926392</v>
      </c>
    </row>
    <row r="1471" spans="2:30" ht="33" customHeight="1">
      <c r="B1471" s="66"/>
      <c r="C1471" s="63" t="s">
        <v>740</v>
      </c>
      <c r="D1471" s="64" t="s">
        <v>741</v>
      </c>
      <c r="E1471" s="484"/>
      <c r="F1471" s="484"/>
      <c r="G1471" s="472"/>
      <c r="H1471" s="484"/>
      <c r="I1471" s="472"/>
      <c r="J1471" s="127"/>
      <c r="K1471" s="65" t="s">
        <v>1</v>
      </c>
      <c r="L1471" s="66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  <c r="Z1471" s="63"/>
      <c r="AA1471" s="63"/>
      <c r="AB1471" s="63"/>
      <c r="AC1471" s="63"/>
      <c r="AD1471" s="63"/>
    </row>
    <row r="1472" spans="2:30" ht="27">
      <c r="B1472" s="13"/>
      <c r="C1472" s="86" t="s">
        <v>740</v>
      </c>
      <c r="D1472" s="86" t="s">
        <v>26</v>
      </c>
      <c r="E1472" s="87"/>
      <c r="F1472" s="485"/>
      <c r="G1472" s="441"/>
      <c r="H1472" s="87"/>
      <c r="I1472" s="87"/>
      <c r="J1472" s="209"/>
      <c r="K1472" s="209"/>
      <c r="L1472" s="13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20"/>
      <c r="Z1472" s="98"/>
      <c r="AA1472" s="100"/>
      <c r="AB1472" s="98"/>
      <c r="AC1472" s="20"/>
      <c r="AD1472" s="98"/>
    </row>
    <row r="1473" spans="2:30" ht="22.5" customHeight="1">
      <c r="B1473" s="13">
        <f t="shared" ref="B1473:B1478" si="466">B1472+1</f>
        <v>1</v>
      </c>
      <c r="C1473" s="74" t="s">
        <v>203</v>
      </c>
      <c r="D1473" s="74" t="s">
        <v>28</v>
      </c>
      <c r="E1473" s="89"/>
      <c r="F1473" s="204"/>
      <c r="G1473" s="193"/>
      <c r="H1473" s="89"/>
      <c r="I1473" s="89"/>
      <c r="J1473" s="15">
        <v>182521000</v>
      </c>
      <c r="K1473" s="99">
        <v>281276000</v>
      </c>
      <c r="L1473" s="13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53">
        <f>AB1473</f>
        <v>76.906992420256259</v>
      </c>
      <c r="Z1473" s="53">
        <f>AD1473</f>
        <v>76.906992420256259</v>
      </c>
      <c r="AA1473" s="200">
        <v>216320912</v>
      </c>
      <c r="AB1473" s="19">
        <f>AA1473/K1473*100</f>
        <v>76.906992420256259</v>
      </c>
      <c r="AC1473" s="22">
        <f>AA1473</f>
        <v>216320912</v>
      </c>
      <c r="AD1473" s="19">
        <f>AC1473/K1473*100</f>
        <v>76.906992420256259</v>
      </c>
    </row>
    <row r="1474" spans="2:30" ht="20.25" customHeight="1">
      <c r="B1474" s="13">
        <f t="shared" si="466"/>
        <v>2</v>
      </c>
      <c r="C1474" s="74" t="s">
        <v>210</v>
      </c>
      <c r="D1474" s="74" t="s">
        <v>30</v>
      </c>
      <c r="E1474" s="89"/>
      <c r="F1474" s="204"/>
      <c r="G1474" s="193"/>
      <c r="H1474" s="89"/>
      <c r="I1474" s="89"/>
      <c r="J1474" s="15">
        <v>113390000</v>
      </c>
      <c r="K1474" s="99">
        <v>187506000</v>
      </c>
      <c r="L1474" s="13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53">
        <f t="shared" ref="Y1474:Y1487" si="467">AB1474</f>
        <v>57.396584642624774</v>
      </c>
      <c r="Z1474" s="53">
        <f t="shared" ref="Z1474:Z1487" si="468">AD1474</f>
        <v>57.396584642624774</v>
      </c>
      <c r="AA1474" s="200">
        <v>107622040</v>
      </c>
      <c r="AB1474" s="19">
        <f t="shared" ref="AB1474:AB1500" si="469">AA1474/K1474*100</f>
        <v>57.396584642624774</v>
      </c>
      <c r="AC1474" s="22">
        <f t="shared" ref="AC1474:AC1500" si="470">AA1474</f>
        <v>107622040</v>
      </c>
      <c r="AD1474" s="19">
        <f t="shared" ref="AD1474:AD1500" si="471">AC1474/K1474*100</f>
        <v>57.396584642624774</v>
      </c>
    </row>
    <row r="1475" spans="2:30" ht="20.25" customHeight="1">
      <c r="B1475" s="13">
        <f t="shared" si="466"/>
        <v>3</v>
      </c>
      <c r="C1475" s="74" t="s">
        <v>204</v>
      </c>
      <c r="D1475" s="74" t="s">
        <v>32</v>
      </c>
      <c r="E1475" s="89"/>
      <c r="F1475" s="204"/>
      <c r="G1475" s="193"/>
      <c r="H1475" s="89"/>
      <c r="I1475" s="89"/>
      <c r="J1475" s="15">
        <v>350272000</v>
      </c>
      <c r="K1475" s="99">
        <v>396222000</v>
      </c>
      <c r="L1475" s="13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53">
        <f t="shared" si="467"/>
        <v>66.616303486429331</v>
      </c>
      <c r="Z1475" s="53">
        <f t="shared" si="468"/>
        <v>66.616303486429331</v>
      </c>
      <c r="AA1475" s="200">
        <v>263948450</v>
      </c>
      <c r="AB1475" s="19">
        <f t="shared" si="469"/>
        <v>66.616303486429331</v>
      </c>
      <c r="AC1475" s="22">
        <f t="shared" si="470"/>
        <v>263948450</v>
      </c>
      <c r="AD1475" s="19">
        <f t="shared" si="471"/>
        <v>66.616303486429331</v>
      </c>
    </row>
    <row r="1476" spans="2:30">
      <c r="B1476" s="13">
        <f t="shared" si="466"/>
        <v>4</v>
      </c>
      <c r="C1476" s="74" t="s">
        <v>205</v>
      </c>
      <c r="D1476" s="74" t="s">
        <v>34</v>
      </c>
      <c r="E1476" s="89"/>
      <c r="F1476" s="204"/>
      <c r="G1476" s="193"/>
      <c r="H1476" s="89"/>
      <c r="I1476" s="89"/>
      <c r="J1476" s="15">
        <v>64484000</v>
      </c>
      <c r="K1476" s="99">
        <v>65850000</v>
      </c>
      <c r="L1476" s="13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53">
        <f t="shared" si="467"/>
        <v>53.846621108580109</v>
      </c>
      <c r="Z1476" s="53">
        <f t="shared" si="468"/>
        <v>53.846621108580109</v>
      </c>
      <c r="AA1476" s="200">
        <v>35458000</v>
      </c>
      <c r="AB1476" s="19">
        <f t="shared" si="469"/>
        <v>53.846621108580109</v>
      </c>
      <c r="AC1476" s="22">
        <f t="shared" si="470"/>
        <v>35458000</v>
      </c>
      <c r="AD1476" s="19">
        <f t="shared" si="471"/>
        <v>53.846621108580109</v>
      </c>
    </row>
    <row r="1477" spans="2:30">
      <c r="B1477" s="13">
        <f t="shared" si="466"/>
        <v>5</v>
      </c>
      <c r="C1477" s="74" t="s">
        <v>215</v>
      </c>
      <c r="D1477" s="74" t="s">
        <v>36</v>
      </c>
      <c r="E1477" s="89"/>
      <c r="F1477" s="204"/>
      <c r="G1477" s="193"/>
      <c r="H1477" s="89"/>
      <c r="I1477" s="89"/>
      <c r="J1477" s="15">
        <v>10000000</v>
      </c>
      <c r="K1477" s="99">
        <v>15000000</v>
      </c>
      <c r="L1477" s="13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53">
        <f t="shared" si="467"/>
        <v>82.366240000000005</v>
      </c>
      <c r="Z1477" s="53">
        <f t="shared" si="468"/>
        <v>82.366240000000005</v>
      </c>
      <c r="AA1477" s="200">
        <v>12354936</v>
      </c>
      <c r="AB1477" s="19">
        <f t="shared" si="469"/>
        <v>82.366240000000005</v>
      </c>
      <c r="AC1477" s="22">
        <f t="shared" si="470"/>
        <v>12354936</v>
      </c>
      <c r="AD1477" s="19">
        <f t="shared" si="471"/>
        <v>82.366240000000005</v>
      </c>
    </row>
    <row r="1478" spans="2:30" ht="25.5">
      <c r="B1478" s="13">
        <f t="shared" si="466"/>
        <v>6</v>
      </c>
      <c r="C1478" s="74" t="s">
        <v>216</v>
      </c>
      <c r="D1478" s="21" t="s">
        <v>38</v>
      </c>
      <c r="E1478" s="89"/>
      <c r="F1478" s="204"/>
      <c r="G1478" s="193"/>
      <c r="H1478" s="89"/>
      <c r="I1478" s="89"/>
      <c r="J1478" s="15">
        <v>9341000</v>
      </c>
      <c r="K1478" s="99">
        <v>9341000</v>
      </c>
      <c r="L1478" s="13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53">
        <f t="shared" si="467"/>
        <v>44.690076008992612</v>
      </c>
      <c r="Z1478" s="53">
        <f t="shared" si="468"/>
        <v>44.690076008992612</v>
      </c>
      <c r="AA1478" s="200">
        <v>4174500</v>
      </c>
      <c r="AB1478" s="19">
        <f t="shared" si="469"/>
        <v>44.690076008992612</v>
      </c>
      <c r="AC1478" s="22">
        <f t="shared" si="470"/>
        <v>4174500</v>
      </c>
      <c r="AD1478" s="19">
        <f t="shared" si="471"/>
        <v>44.690076008992612</v>
      </c>
    </row>
    <row r="1479" spans="2:30" ht="25.5">
      <c r="B1479" s="13">
        <v>7</v>
      </c>
      <c r="C1479" s="123" t="s">
        <v>2106</v>
      </c>
      <c r="D1479" s="21" t="s">
        <v>2107</v>
      </c>
      <c r="E1479" s="89"/>
      <c r="F1479" s="204"/>
      <c r="G1479" s="193"/>
      <c r="H1479" s="89"/>
      <c r="I1479" s="89"/>
      <c r="J1479" s="15"/>
      <c r="K1479" s="99">
        <v>42900000</v>
      </c>
      <c r="L1479" s="13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53">
        <f>AB1479</f>
        <v>100</v>
      </c>
      <c r="Z1479" s="53">
        <f>AD1479</f>
        <v>100</v>
      </c>
      <c r="AA1479" s="678">
        <v>42900000</v>
      </c>
      <c r="AB1479" s="19">
        <f t="shared" si="469"/>
        <v>100</v>
      </c>
      <c r="AC1479" s="22">
        <f t="shared" si="470"/>
        <v>42900000</v>
      </c>
      <c r="AD1479" s="19">
        <f t="shared" si="471"/>
        <v>100</v>
      </c>
    </row>
    <row r="1480" spans="2:30" ht="16.5">
      <c r="B1480" s="13"/>
      <c r="C1480" s="86" t="s">
        <v>742</v>
      </c>
      <c r="D1480" s="86" t="s">
        <v>743</v>
      </c>
      <c r="E1480" s="87"/>
      <c r="F1480" s="485"/>
      <c r="G1480" s="441"/>
      <c r="H1480" s="87"/>
      <c r="I1480" s="87"/>
      <c r="J1480" s="209"/>
      <c r="K1480" s="209"/>
      <c r="L1480" s="13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53"/>
      <c r="Z1480" s="53"/>
      <c r="AA1480" s="679"/>
      <c r="AB1480" s="19"/>
      <c r="AC1480" s="53"/>
      <c r="AD1480" s="19"/>
    </row>
    <row r="1481" spans="2:30" ht="28.5" customHeight="1">
      <c r="B1481" s="13">
        <f>B1479+1</f>
        <v>8</v>
      </c>
      <c r="C1481" s="74" t="s">
        <v>240</v>
      </c>
      <c r="D1481" s="74" t="s">
        <v>2108</v>
      </c>
      <c r="E1481" s="89"/>
      <c r="F1481" s="204"/>
      <c r="G1481" s="193"/>
      <c r="H1481" s="89"/>
      <c r="I1481" s="89"/>
      <c r="J1481" s="15">
        <v>59924000</v>
      </c>
      <c r="K1481" s="99">
        <v>54024000</v>
      </c>
      <c r="L1481" s="13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53">
        <f t="shared" si="467"/>
        <v>87.309529098178587</v>
      </c>
      <c r="Z1481" s="53">
        <f t="shared" si="468"/>
        <v>87.309529098178587</v>
      </c>
      <c r="AA1481" s="200">
        <v>47168100</v>
      </c>
      <c r="AB1481" s="19">
        <f t="shared" si="469"/>
        <v>87.309529098178587</v>
      </c>
      <c r="AC1481" s="22">
        <f>AA1481</f>
        <v>47168100</v>
      </c>
      <c r="AD1481" s="19">
        <f t="shared" si="471"/>
        <v>87.309529098178587</v>
      </c>
    </row>
    <row r="1482" spans="2:30">
      <c r="B1482" s="13">
        <f t="shared" ref="B1482:B1500" si="472">B1481+1</f>
        <v>9</v>
      </c>
      <c r="C1482" s="74" t="s">
        <v>353</v>
      </c>
      <c r="D1482" s="74" t="s">
        <v>744</v>
      </c>
      <c r="E1482" s="89"/>
      <c r="F1482" s="204"/>
      <c r="G1482" s="193"/>
      <c r="H1482" s="89"/>
      <c r="I1482" s="89"/>
      <c r="J1482" s="15">
        <v>22000000</v>
      </c>
      <c r="K1482" s="99">
        <v>22000000</v>
      </c>
      <c r="L1482" s="13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53">
        <f t="shared" si="467"/>
        <v>86.510454545454536</v>
      </c>
      <c r="Z1482" s="53">
        <f t="shared" si="468"/>
        <v>86.510454545454536</v>
      </c>
      <c r="AA1482" s="200">
        <v>19032300</v>
      </c>
      <c r="AB1482" s="19">
        <f t="shared" si="469"/>
        <v>86.510454545454536</v>
      </c>
      <c r="AC1482" s="22">
        <f>AA1482</f>
        <v>19032300</v>
      </c>
      <c r="AD1482" s="19">
        <f t="shared" si="471"/>
        <v>86.510454545454536</v>
      </c>
    </row>
    <row r="1483" spans="2:30" ht="27">
      <c r="B1483" s="13">
        <f t="shared" si="472"/>
        <v>10</v>
      </c>
      <c r="C1483" s="74" t="s">
        <v>745</v>
      </c>
      <c r="D1483" s="74" t="s">
        <v>746</v>
      </c>
      <c r="E1483" s="89"/>
      <c r="F1483" s="204"/>
      <c r="G1483" s="193"/>
      <c r="H1483" s="89"/>
      <c r="I1483" s="89"/>
      <c r="J1483" s="15">
        <v>69675000</v>
      </c>
      <c r="K1483" s="99">
        <v>69675000</v>
      </c>
      <c r="L1483" s="13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53">
        <f t="shared" si="467"/>
        <v>65.403659849300325</v>
      </c>
      <c r="Z1483" s="53">
        <f t="shared" si="468"/>
        <v>65.403659849300325</v>
      </c>
      <c r="AA1483" s="200">
        <v>45570000</v>
      </c>
      <c r="AB1483" s="19">
        <f t="shared" si="469"/>
        <v>65.403659849300325</v>
      </c>
      <c r="AC1483" s="22">
        <f t="shared" si="470"/>
        <v>45570000</v>
      </c>
      <c r="AD1483" s="19">
        <f t="shared" si="471"/>
        <v>65.403659849300325</v>
      </c>
    </row>
    <row r="1484" spans="2:30" ht="27">
      <c r="B1484" s="13">
        <f t="shared" si="472"/>
        <v>11</v>
      </c>
      <c r="C1484" s="74" t="s">
        <v>242</v>
      </c>
      <c r="D1484" s="74" t="s">
        <v>747</v>
      </c>
      <c r="E1484" s="89"/>
      <c r="F1484" s="204"/>
      <c r="G1484" s="193"/>
      <c r="H1484" s="89"/>
      <c r="I1484" s="89"/>
      <c r="J1484" s="15">
        <v>7444000</v>
      </c>
      <c r="K1484" s="99">
        <v>7444000</v>
      </c>
      <c r="L1484" s="13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53">
        <f t="shared" si="467"/>
        <v>41.053197205803329</v>
      </c>
      <c r="Z1484" s="53">
        <f t="shared" si="468"/>
        <v>41.053197205803329</v>
      </c>
      <c r="AA1484" s="200">
        <v>3056000</v>
      </c>
      <c r="AB1484" s="19">
        <f t="shared" si="469"/>
        <v>41.053197205803329</v>
      </c>
      <c r="AC1484" s="22">
        <f t="shared" si="470"/>
        <v>3056000</v>
      </c>
      <c r="AD1484" s="19">
        <f t="shared" si="471"/>
        <v>41.053197205803329</v>
      </c>
    </row>
    <row r="1485" spans="2:30">
      <c r="B1485" s="13">
        <f t="shared" si="472"/>
        <v>12</v>
      </c>
      <c r="C1485" s="74" t="s">
        <v>244</v>
      </c>
      <c r="D1485" s="74" t="s">
        <v>748</v>
      </c>
      <c r="E1485" s="89"/>
      <c r="F1485" s="204"/>
      <c r="G1485" s="193"/>
      <c r="H1485" s="89"/>
      <c r="I1485" s="89"/>
      <c r="J1485" s="15">
        <v>20775000</v>
      </c>
      <c r="K1485" s="99">
        <v>20775000</v>
      </c>
      <c r="L1485" s="13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53">
        <f t="shared" si="467"/>
        <v>83.139350180505417</v>
      </c>
      <c r="Z1485" s="53">
        <f t="shared" si="468"/>
        <v>83.139350180505417</v>
      </c>
      <c r="AA1485" s="200">
        <v>17272200</v>
      </c>
      <c r="AB1485" s="19">
        <f t="shared" si="469"/>
        <v>83.139350180505417</v>
      </c>
      <c r="AC1485" s="22">
        <f t="shared" si="470"/>
        <v>17272200</v>
      </c>
      <c r="AD1485" s="19">
        <f t="shared" si="471"/>
        <v>83.139350180505417</v>
      </c>
    </row>
    <row r="1486" spans="2:30" ht="27">
      <c r="B1486" s="13">
        <f t="shared" si="472"/>
        <v>13</v>
      </c>
      <c r="C1486" s="74" t="s">
        <v>246</v>
      </c>
      <c r="D1486" s="74" t="s">
        <v>749</v>
      </c>
      <c r="E1486" s="89"/>
      <c r="F1486" s="204"/>
      <c r="G1486" s="193"/>
      <c r="H1486" s="89"/>
      <c r="I1486" s="89"/>
      <c r="J1486" s="15">
        <v>494670000</v>
      </c>
      <c r="K1486" s="99">
        <v>490050000</v>
      </c>
      <c r="L1486" s="57"/>
      <c r="M1486" s="25"/>
      <c r="N1486" s="49"/>
      <c r="O1486" s="401"/>
      <c r="P1486" s="401"/>
      <c r="Q1486" s="18"/>
      <c r="R1486" s="18"/>
      <c r="S1486" s="18"/>
      <c r="T1486" s="18"/>
      <c r="U1486" s="18"/>
      <c r="V1486" s="18"/>
      <c r="W1486" s="18"/>
      <c r="X1486" s="18"/>
      <c r="Y1486" s="53">
        <f t="shared" si="467"/>
        <v>21.831098867462504</v>
      </c>
      <c r="Z1486" s="53">
        <f t="shared" si="468"/>
        <v>21.831098867462504</v>
      </c>
      <c r="AA1486" s="200">
        <v>106983300</v>
      </c>
      <c r="AB1486" s="19">
        <f t="shared" si="469"/>
        <v>21.831098867462504</v>
      </c>
      <c r="AC1486" s="22">
        <f t="shared" si="470"/>
        <v>106983300</v>
      </c>
      <c r="AD1486" s="19">
        <f t="shared" si="471"/>
        <v>21.831098867462504</v>
      </c>
    </row>
    <row r="1487" spans="2:30" ht="25.5">
      <c r="B1487" s="13">
        <f t="shared" si="472"/>
        <v>14</v>
      </c>
      <c r="C1487" s="81">
        <v>17.013000000000002</v>
      </c>
      <c r="D1487" s="21" t="s">
        <v>750</v>
      </c>
      <c r="E1487" s="89"/>
      <c r="F1487" s="204"/>
      <c r="G1487" s="193"/>
      <c r="H1487" s="89"/>
      <c r="I1487" s="89"/>
      <c r="J1487" s="15">
        <v>68080000</v>
      </c>
      <c r="K1487" s="99">
        <v>68080000</v>
      </c>
      <c r="L1487" s="57"/>
      <c r="M1487" s="25"/>
      <c r="N1487" s="49"/>
      <c r="O1487" s="401"/>
      <c r="P1487" s="401"/>
      <c r="Q1487" s="18"/>
      <c r="R1487" s="18"/>
      <c r="S1487" s="18"/>
      <c r="T1487" s="18"/>
      <c r="U1487" s="18"/>
      <c r="V1487" s="18"/>
      <c r="W1487" s="18"/>
      <c r="X1487" s="18"/>
      <c r="Y1487" s="53">
        <f t="shared" si="467"/>
        <v>60.465628672150409</v>
      </c>
      <c r="Z1487" s="53">
        <f t="shared" si="468"/>
        <v>60.465628672150409</v>
      </c>
      <c r="AA1487" s="680">
        <v>41165000</v>
      </c>
      <c r="AB1487" s="19">
        <f t="shared" si="469"/>
        <v>60.465628672150409</v>
      </c>
      <c r="AC1487" s="22">
        <f t="shared" si="470"/>
        <v>41165000</v>
      </c>
      <c r="AD1487" s="19">
        <f t="shared" si="471"/>
        <v>60.465628672150409</v>
      </c>
    </row>
    <row r="1488" spans="2:30" ht="31.5" customHeight="1">
      <c r="B1488" s="13">
        <f t="shared" si="472"/>
        <v>15</v>
      </c>
      <c r="C1488" s="81">
        <v>17.013999999999999</v>
      </c>
      <c r="D1488" s="21" t="s">
        <v>751</v>
      </c>
      <c r="E1488" s="89"/>
      <c r="F1488" s="204"/>
      <c r="G1488" s="193"/>
      <c r="H1488" s="89"/>
      <c r="I1488" s="89"/>
      <c r="J1488" s="15">
        <v>750000000</v>
      </c>
      <c r="K1488" s="99">
        <v>504618000</v>
      </c>
      <c r="L1488" s="57"/>
      <c r="M1488" s="25"/>
      <c r="N1488" s="161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53">
        <f t="shared" ref="Y1488:Y1491" si="473">AB1488</f>
        <v>99.55326603490164</v>
      </c>
      <c r="Z1488" s="53">
        <f t="shared" ref="Z1488:Z1491" si="474">AD1488</f>
        <v>99.55326603490164</v>
      </c>
      <c r="AA1488" s="680">
        <v>502363700</v>
      </c>
      <c r="AB1488" s="19">
        <f t="shared" si="469"/>
        <v>99.55326603490164</v>
      </c>
      <c r="AC1488" s="22">
        <f t="shared" si="470"/>
        <v>502363700</v>
      </c>
      <c r="AD1488" s="19">
        <f t="shared" si="471"/>
        <v>99.55326603490164</v>
      </c>
    </row>
    <row r="1489" spans="2:30" ht="34.5" customHeight="1">
      <c r="B1489" s="13">
        <f t="shared" si="472"/>
        <v>16</v>
      </c>
      <c r="C1489" s="81">
        <v>17.015999999999998</v>
      </c>
      <c r="D1489" s="21" t="s">
        <v>752</v>
      </c>
      <c r="E1489" s="89"/>
      <c r="F1489" s="204"/>
      <c r="G1489" s="193"/>
      <c r="H1489" s="89"/>
      <c r="I1489" s="89"/>
      <c r="J1489" s="15">
        <v>190000000</v>
      </c>
      <c r="K1489" s="99">
        <v>240000000</v>
      </c>
      <c r="L1489" s="57"/>
      <c r="M1489" s="25"/>
      <c r="N1489" s="49"/>
      <c r="O1489" s="401"/>
      <c r="P1489" s="401"/>
      <c r="Q1489" s="18"/>
      <c r="R1489" s="18"/>
      <c r="S1489" s="18"/>
      <c r="T1489" s="18"/>
      <c r="U1489" s="18"/>
      <c r="V1489" s="18"/>
      <c r="W1489" s="18"/>
      <c r="X1489" s="18"/>
      <c r="Y1489" s="53">
        <f t="shared" si="473"/>
        <v>98.619562500000001</v>
      </c>
      <c r="Z1489" s="53">
        <f t="shared" si="474"/>
        <v>98.619562500000001</v>
      </c>
      <c r="AA1489" s="680">
        <f>189186950+47500000</f>
        <v>236686950</v>
      </c>
      <c r="AB1489" s="19">
        <f t="shared" si="469"/>
        <v>98.619562500000001</v>
      </c>
      <c r="AC1489" s="22">
        <f t="shared" si="470"/>
        <v>236686950</v>
      </c>
      <c r="AD1489" s="19">
        <f t="shared" si="471"/>
        <v>98.619562500000001</v>
      </c>
    </row>
    <row r="1490" spans="2:30" ht="32.25" customHeight="1">
      <c r="B1490" s="13">
        <f t="shared" si="472"/>
        <v>17</v>
      </c>
      <c r="C1490" s="81">
        <v>17.016999999999999</v>
      </c>
      <c r="D1490" s="21" t="s">
        <v>753</v>
      </c>
      <c r="E1490" s="89"/>
      <c r="F1490" s="204"/>
      <c r="G1490" s="193"/>
      <c r="H1490" s="89"/>
      <c r="I1490" s="89"/>
      <c r="J1490" s="15">
        <v>80000000</v>
      </c>
      <c r="K1490" s="99">
        <v>80000000</v>
      </c>
      <c r="L1490" s="57"/>
      <c r="M1490" s="25"/>
      <c r="N1490" s="49"/>
      <c r="O1490" s="401"/>
      <c r="P1490" s="401"/>
      <c r="Q1490" s="18"/>
      <c r="R1490" s="18"/>
      <c r="S1490" s="18"/>
      <c r="T1490" s="18"/>
      <c r="U1490" s="18"/>
      <c r="V1490" s="18"/>
      <c r="W1490" s="18"/>
      <c r="X1490" s="18"/>
      <c r="Y1490" s="53">
        <f t="shared" si="473"/>
        <v>98.292187499999997</v>
      </c>
      <c r="Z1490" s="53">
        <f t="shared" si="474"/>
        <v>98.292187499999997</v>
      </c>
      <c r="AA1490" s="680">
        <v>78633750</v>
      </c>
      <c r="AB1490" s="19">
        <f t="shared" si="469"/>
        <v>98.292187499999997</v>
      </c>
      <c r="AC1490" s="22">
        <f t="shared" si="470"/>
        <v>78633750</v>
      </c>
      <c r="AD1490" s="19">
        <f t="shared" si="471"/>
        <v>98.292187499999997</v>
      </c>
    </row>
    <row r="1491" spans="2:30" ht="20.25" customHeight="1">
      <c r="B1491" s="13">
        <f t="shared" si="472"/>
        <v>18</v>
      </c>
      <c r="C1491" s="81">
        <v>17.023</v>
      </c>
      <c r="D1491" s="21" t="s">
        <v>754</v>
      </c>
      <c r="E1491" s="89"/>
      <c r="F1491" s="204"/>
      <c r="G1491" s="193"/>
      <c r="H1491" s="89"/>
      <c r="I1491" s="89"/>
      <c r="J1491" s="15">
        <v>1300000000</v>
      </c>
      <c r="K1491" s="99">
        <v>2532139000</v>
      </c>
      <c r="L1491" s="57"/>
      <c r="M1491" s="25"/>
      <c r="N1491" s="49"/>
      <c r="O1491" s="401"/>
      <c r="P1491" s="401"/>
      <c r="Q1491" s="18"/>
      <c r="R1491" s="18"/>
      <c r="S1491" s="18"/>
      <c r="T1491" s="18"/>
      <c r="U1491" s="18"/>
      <c r="V1491" s="18"/>
      <c r="W1491" s="18"/>
      <c r="X1491" s="18"/>
      <c r="Y1491" s="53">
        <f t="shared" si="473"/>
        <v>96.10382368424483</v>
      </c>
      <c r="Z1491" s="53">
        <f t="shared" si="474"/>
        <v>96.10382368424483</v>
      </c>
      <c r="AA1491" s="680">
        <v>2433482400</v>
      </c>
      <c r="AB1491" s="19">
        <f t="shared" si="469"/>
        <v>96.10382368424483</v>
      </c>
      <c r="AC1491" s="22">
        <f t="shared" si="470"/>
        <v>2433482400</v>
      </c>
      <c r="AD1491" s="19">
        <f t="shared" si="471"/>
        <v>96.10382368424483</v>
      </c>
    </row>
    <row r="1492" spans="2:30" ht="25.5">
      <c r="B1492" s="45">
        <f t="shared" si="472"/>
        <v>19</v>
      </c>
      <c r="C1492" s="116">
        <v>17.024000000000001</v>
      </c>
      <c r="D1492" s="21" t="s">
        <v>755</v>
      </c>
      <c r="E1492" s="186"/>
      <c r="F1492" s="489"/>
      <c r="G1492" s="240"/>
      <c r="H1492" s="186"/>
      <c r="I1492" s="186"/>
      <c r="J1492" s="15">
        <v>23450000</v>
      </c>
      <c r="K1492" s="99">
        <v>23450000</v>
      </c>
      <c r="L1492" s="95"/>
      <c r="M1492" s="40"/>
      <c r="N1492" s="383"/>
      <c r="O1492" s="446"/>
      <c r="P1492" s="446"/>
      <c r="Q1492" s="108"/>
      <c r="R1492" s="108"/>
      <c r="S1492" s="108"/>
      <c r="T1492" s="108"/>
      <c r="U1492" s="108"/>
      <c r="V1492" s="108"/>
      <c r="W1492" s="108"/>
      <c r="X1492" s="108"/>
      <c r="Y1492" s="53">
        <f t="shared" ref="Y1492:Y1497" si="475">AB1492</f>
        <v>72.309168443496802</v>
      </c>
      <c r="Z1492" s="53">
        <f t="shared" ref="Z1492:Z1497" si="476">AD1492</f>
        <v>72.309168443496802</v>
      </c>
      <c r="AA1492" s="680">
        <v>16956500</v>
      </c>
      <c r="AB1492" s="19">
        <f t="shared" si="469"/>
        <v>72.309168443496802</v>
      </c>
      <c r="AC1492" s="112">
        <f t="shared" si="470"/>
        <v>16956500</v>
      </c>
      <c r="AD1492" s="19">
        <f t="shared" si="471"/>
        <v>72.309168443496802</v>
      </c>
    </row>
    <row r="1493" spans="2:30" ht="25.5">
      <c r="B1493" s="45">
        <f t="shared" si="472"/>
        <v>20</v>
      </c>
      <c r="C1493" s="170">
        <v>17.024999999999999</v>
      </c>
      <c r="D1493" s="21" t="s">
        <v>756</v>
      </c>
      <c r="E1493" s="89"/>
      <c r="F1493" s="204"/>
      <c r="G1493" s="193"/>
      <c r="H1493" s="89"/>
      <c r="I1493" s="89"/>
      <c r="J1493" s="15">
        <v>136606000</v>
      </c>
      <c r="K1493" s="99">
        <v>136606000</v>
      </c>
      <c r="L1493" s="57"/>
      <c r="M1493" s="25"/>
      <c r="N1493" s="49"/>
      <c r="O1493" s="401"/>
      <c r="P1493" s="401"/>
      <c r="Q1493" s="18"/>
      <c r="R1493" s="18"/>
      <c r="S1493" s="18"/>
      <c r="T1493" s="18"/>
      <c r="U1493" s="18"/>
      <c r="V1493" s="18"/>
      <c r="W1493" s="18"/>
      <c r="X1493" s="18"/>
      <c r="Y1493" s="53">
        <f t="shared" si="475"/>
        <v>99.008242683337471</v>
      </c>
      <c r="Z1493" s="53">
        <f t="shared" si="476"/>
        <v>99.008242683337471</v>
      </c>
      <c r="AA1493" s="680">
        <v>135251200</v>
      </c>
      <c r="AB1493" s="19">
        <f t="shared" si="469"/>
        <v>99.008242683337471</v>
      </c>
      <c r="AC1493" s="112">
        <f t="shared" si="470"/>
        <v>135251200</v>
      </c>
      <c r="AD1493" s="19">
        <f t="shared" si="471"/>
        <v>99.008242683337471</v>
      </c>
    </row>
    <row r="1494" spans="2:30" ht="21" customHeight="1">
      <c r="B1494" s="45">
        <f t="shared" si="472"/>
        <v>21</v>
      </c>
      <c r="C1494" s="170">
        <v>17.026</v>
      </c>
      <c r="D1494" s="21" t="s">
        <v>757</v>
      </c>
      <c r="E1494" s="89"/>
      <c r="F1494" s="204"/>
      <c r="G1494" s="193"/>
      <c r="H1494" s="89"/>
      <c r="I1494" s="89"/>
      <c r="J1494" s="15">
        <v>160000000</v>
      </c>
      <c r="K1494" s="99">
        <v>160000000</v>
      </c>
      <c r="L1494" s="57"/>
      <c r="M1494" s="25"/>
      <c r="N1494" s="49"/>
      <c r="O1494" s="401"/>
      <c r="P1494" s="401"/>
      <c r="Q1494" s="18"/>
      <c r="R1494" s="18"/>
      <c r="S1494" s="18"/>
      <c r="T1494" s="18"/>
      <c r="U1494" s="18"/>
      <c r="V1494" s="18"/>
      <c r="W1494" s="18"/>
      <c r="X1494" s="18"/>
      <c r="Y1494" s="53">
        <f t="shared" si="475"/>
        <v>99.08484374999999</v>
      </c>
      <c r="Z1494" s="53">
        <f t="shared" si="476"/>
        <v>99.08484374999999</v>
      </c>
      <c r="AA1494" s="680">
        <v>158535750</v>
      </c>
      <c r="AB1494" s="19">
        <f t="shared" si="469"/>
        <v>99.08484374999999</v>
      </c>
      <c r="AC1494" s="112">
        <f t="shared" si="470"/>
        <v>158535750</v>
      </c>
      <c r="AD1494" s="19">
        <f t="shared" si="471"/>
        <v>99.08484374999999</v>
      </c>
    </row>
    <row r="1495" spans="2:30" ht="44.25" customHeight="1">
      <c r="B1495" s="45">
        <f t="shared" si="472"/>
        <v>22</v>
      </c>
      <c r="C1495" s="170">
        <v>17.027000000000001</v>
      </c>
      <c r="D1495" s="677" t="s">
        <v>758</v>
      </c>
      <c r="E1495" s="186"/>
      <c r="F1495" s="489"/>
      <c r="G1495" s="240" t="s">
        <v>1</v>
      </c>
      <c r="H1495" s="186"/>
      <c r="I1495" s="186"/>
      <c r="J1495" s="79">
        <v>165225000</v>
      </c>
      <c r="K1495" s="99">
        <v>165225000</v>
      </c>
      <c r="L1495" s="95"/>
      <c r="M1495" s="40"/>
      <c r="N1495" s="383"/>
      <c r="O1495" s="446"/>
      <c r="P1495" s="446"/>
      <c r="Q1495" s="108"/>
      <c r="R1495" s="108"/>
      <c r="S1495" s="108"/>
      <c r="T1495" s="108"/>
      <c r="U1495" s="108"/>
      <c r="V1495" s="108"/>
      <c r="W1495" s="108"/>
      <c r="X1495" s="108"/>
      <c r="Y1495" s="53">
        <f t="shared" si="475"/>
        <v>99.126282342260552</v>
      </c>
      <c r="Z1495" s="53">
        <f t="shared" si="476"/>
        <v>99.126282342260552</v>
      </c>
      <c r="AA1495" s="681">
        <v>163781400</v>
      </c>
      <c r="AB1495" s="19">
        <f t="shared" si="469"/>
        <v>99.126282342260552</v>
      </c>
      <c r="AC1495" s="112">
        <f t="shared" si="470"/>
        <v>163781400</v>
      </c>
      <c r="AD1495" s="19">
        <f t="shared" si="471"/>
        <v>99.126282342260552</v>
      </c>
    </row>
    <row r="1496" spans="2:30" ht="19.5" customHeight="1">
      <c r="B1496" s="45">
        <f t="shared" si="472"/>
        <v>23</v>
      </c>
      <c r="C1496" s="174"/>
      <c r="D1496" s="21" t="s">
        <v>2109</v>
      </c>
      <c r="E1496" s="89"/>
      <c r="F1496" s="204"/>
      <c r="G1496" s="193"/>
      <c r="H1496" s="89"/>
      <c r="I1496" s="89"/>
      <c r="J1496" s="15"/>
      <c r="K1496" s="99">
        <v>205000000</v>
      </c>
      <c r="L1496" s="57"/>
      <c r="M1496" s="25"/>
      <c r="N1496" s="49"/>
      <c r="O1496" s="401"/>
      <c r="P1496" s="401"/>
      <c r="Q1496" s="18"/>
      <c r="R1496" s="18"/>
      <c r="S1496" s="18"/>
      <c r="T1496" s="18"/>
      <c r="U1496" s="18"/>
      <c r="V1496" s="18"/>
      <c r="W1496" s="18"/>
      <c r="X1496" s="18"/>
      <c r="Y1496" s="53">
        <f t="shared" si="475"/>
        <v>99.365853658536579</v>
      </c>
      <c r="Z1496" s="53">
        <f t="shared" si="476"/>
        <v>99.365853658536579</v>
      </c>
      <c r="AA1496" s="680">
        <v>203700000</v>
      </c>
      <c r="AB1496" s="19">
        <f t="shared" si="469"/>
        <v>99.365853658536579</v>
      </c>
      <c r="AC1496" s="22">
        <f t="shared" si="470"/>
        <v>203700000</v>
      </c>
      <c r="AD1496" s="19">
        <f t="shared" si="471"/>
        <v>99.365853658536579</v>
      </c>
    </row>
    <row r="1497" spans="2:30" ht="33.75" customHeight="1">
      <c r="B1497" s="45">
        <f t="shared" si="472"/>
        <v>24</v>
      </c>
      <c r="C1497" s="174"/>
      <c r="D1497" s="21" t="s">
        <v>2110</v>
      </c>
      <c r="E1497" s="89"/>
      <c r="F1497" s="204"/>
      <c r="G1497" s="193"/>
      <c r="H1497" s="89"/>
      <c r="I1497" s="89"/>
      <c r="J1497" s="15"/>
      <c r="K1497" s="99">
        <v>121000000</v>
      </c>
      <c r="L1497" s="57"/>
      <c r="M1497" s="25"/>
      <c r="N1497" s="49"/>
      <c r="O1497" s="401"/>
      <c r="P1497" s="401"/>
      <c r="Q1497" s="18"/>
      <c r="R1497" s="18"/>
      <c r="S1497" s="18"/>
      <c r="T1497" s="18"/>
      <c r="U1497" s="18"/>
      <c r="V1497" s="18"/>
      <c r="W1497" s="18"/>
      <c r="X1497" s="18"/>
      <c r="Y1497" s="53">
        <f t="shared" si="475"/>
        <v>99.256198347107443</v>
      </c>
      <c r="Z1497" s="53">
        <f t="shared" si="476"/>
        <v>99.256198347107443</v>
      </c>
      <c r="AA1497" s="680">
        <v>120100000</v>
      </c>
      <c r="AB1497" s="19">
        <f t="shared" si="469"/>
        <v>99.256198347107443</v>
      </c>
      <c r="AC1497" s="22">
        <f t="shared" si="470"/>
        <v>120100000</v>
      </c>
      <c r="AD1497" s="19">
        <f t="shared" si="471"/>
        <v>99.256198347107443</v>
      </c>
    </row>
    <row r="1498" spans="2:30" ht="19.5" customHeight="1">
      <c r="B1498" s="45">
        <f t="shared" si="472"/>
        <v>25</v>
      </c>
      <c r="C1498" s="174"/>
      <c r="D1498" s="21" t="s">
        <v>2111</v>
      </c>
      <c r="E1498" s="89"/>
      <c r="F1498" s="204"/>
      <c r="G1498" s="193"/>
      <c r="H1498" s="89"/>
      <c r="I1498" s="89"/>
      <c r="J1498" s="15"/>
      <c r="K1498" s="99">
        <v>47993000</v>
      </c>
      <c r="L1498" s="57"/>
      <c r="M1498" s="25"/>
      <c r="N1498" s="49"/>
      <c r="O1498" s="401"/>
      <c r="P1498" s="401"/>
      <c r="Q1498" s="18"/>
      <c r="R1498" s="18"/>
      <c r="S1498" s="18"/>
      <c r="T1498" s="18"/>
      <c r="U1498" s="18"/>
      <c r="V1498" s="18"/>
      <c r="W1498" s="18"/>
      <c r="X1498" s="18"/>
      <c r="Y1498" s="53">
        <f t="shared" ref="Y1498" si="477">AB1498</f>
        <v>79.573571145792101</v>
      </c>
      <c r="Z1498" s="53">
        <f t="shared" ref="Z1498" si="478">AD1498</f>
        <v>79.573571145792101</v>
      </c>
      <c r="AA1498" s="680">
        <v>38189744</v>
      </c>
      <c r="AB1498" s="19">
        <f t="shared" si="469"/>
        <v>79.573571145792101</v>
      </c>
      <c r="AC1498" s="22">
        <f t="shared" si="470"/>
        <v>38189744</v>
      </c>
      <c r="AD1498" s="19">
        <f t="shared" si="471"/>
        <v>79.573571145792101</v>
      </c>
    </row>
    <row r="1499" spans="2:30" ht="21" customHeight="1">
      <c r="B1499" s="45">
        <f t="shared" si="472"/>
        <v>26</v>
      </c>
      <c r="C1499" s="174"/>
      <c r="D1499" s="21" t="s">
        <v>2112</v>
      </c>
      <c r="E1499" s="89"/>
      <c r="F1499" s="204"/>
      <c r="G1499" s="193"/>
      <c r="H1499" s="89"/>
      <c r="I1499" s="89"/>
      <c r="J1499" s="15"/>
      <c r="K1499" s="99">
        <v>39982000</v>
      </c>
      <c r="L1499" s="57"/>
      <c r="M1499" s="25"/>
      <c r="N1499" s="49"/>
      <c r="O1499" s="401"/>
      <c r="P1499" s="401"/>
      <c r="Q1499" s="18"/>
      <c r="R1499" s="18"/>
      <c r="S1499" s="18"/>
      <c r="T1499" s="18"/>
      <c r="U1499" s="18"/>
      <c r="V1499" s="18"/>
      <c r="W1499" s="18"/>
      <c r="X1499" s="18"/>
      <c r="Y1499" s="53">
        <f t="shared" ref="Y1499:Y1500" si="479">AB1499</f>
        <v>98.419288679905961</v>
      </c>
      <c r="Z1499" s="53">
        <f t="shared" ref="Z1499:Z1500" si="480">AD1499</f>
        <v>98.419288679905961</v>
      </c>
      <c r="AA1499" s="680">
        <v>39350000</v>
      </c>
      <c r="AB1499" s="19">
        <f t="shared" si="469"/>
        <v>98.419288679905961</v>
      </c>
      <c r="AC1499" s="22">
        <f t="shared" si="470"/>
        <v>39350000</v>
      </c>
      <c r="AD1499" s="19">
        <f t="shared" si="471"/>
        <v>98.419288679905961</v>
      </c>
    </row>
    <row r="1500" spans="2:30" ht="33.75" customHeight="1">
      <c r="B1500" s="45">
        <f t="shared" si="472"/>
        <v>27</v>
      </c>
      <c r="C1500" s="170"/>
      <c r="D1500" s="671" t="s">
        <v>2113</v>
      </c>
      <c r="E1500" s="105"/>
      <c r="F1500" s="347"/>
      <c r="G1500" s="498"/>
      <c r="H1500" s="105"/>
      <c r="I1500" s="105"/>
      <c r="J1500" s="598"/>
      <c r="K1500" s="99">
        <v>96000000</v>
      </c>
      <c r="L1500" s="673"/>
      <c r="M1500" s="85"/>
      <c r="N1500" s="674"/>
      <c r="O1500" s="675"/>
      <c r="P1500" s="675"/>
      <c r="Q1500" s="676"/>
      <c r="R1500" s="676"/>
      <c r="S1500" s="676"/>
      <c r="T1500" s="676"/>
      <c r="U1500" s="676"/>
      <c r="V1500" s="676"/>
      <c r="W1500" s="676"/>
      <c r="X1500" s="676"/>
      <c r="Y1500" s="53">
        <f t="shared" si="479"/>
        <v>99.21875</v>
      </c>
      <c r="Z1500" s="53">
        <f t="shared" si="480"/>
        <v>99.21875</v>
      </c>
      <c r="AA1500" s="682">
        <v>95250000</v>
      </c>
      <c r="AB1500" s="19">
        <f t="shared" si="469"/>
        <v>99.21875</v>
      </c>
      <c r="AC1500" s="112">
        <f t="shared" si="470"/>
        <v>95250000</v>
      </c>
      <c r="AD1500" s="19">
        <f t="shared" si="471"/>
        <v>99.21875</v>
      </c>
    </row>
    <row r="1501" spans="2:30" ht="21" customHeight="1">
      <c r="B1501" s="37">
        <v>125</v>
      </c>
      <c r="C1501" s="855" t="s">
        <v>759</v>
      </c>
      <c r="D1501" s="855"/>
      <c r="E1501" s="483"/>
      <c r="F1501" s="483">
        <v>27</v>
      </c>
      <c r="G1501" s="468"/>
      <c r="H1501" s="483"/>
      <c r="I1501" s="468"/>
      <c r="J1501" s="823">
        <f>SUM(J1473:J1495)</f>
        <v>4277857000</v>
      </c>
      <c r="K1501" s="823">
        <f>SUM(K1473:K1500)</f>
        <v>6082156000</v>
      </c>
      <c r="L1501" s="37"/>
      <c r="M1501" s="38"/>
      <c r="N1501" s="38"/>
      <c r="O1501" s="38"/>
      <c r="P1501" s="38"/>
      <c r="Q1501" s="38"/>
      <c r="R1501" s="38"/>
      <c r="S1501" s="38"/>
      <c r="T1501" s="38">
        <v>1</v>
      </c>
      <c r="U1501" s="38"/>
      <c r="V1501" s="38">
        <v>1</v>
      </c>
      <c r="W1501" s="38"/>
      <c r="X1501" s="38"/>
      <c r="Y1501" s="188">
        <f>SUM(Y1473:Y1500)/27</f>
        <v>80.202473142789671</v>
      </c>
      <c r="Z1501" s="188">
        <f>SUM(Z1473:Z1500)/27</f>
        <v>80.202473142789671</v>
      </c>
      <c r="AA1501" s="189">
        <f>SUM(AA1473:AA1500)</f>
        <v>5185307132</v>
      </c>
      <c r="AB1501" s="188">
        <f>SUM(AB1473:AB1500)/27</f>
        <v>80.202473142789671</v>
      </c>
      <c r="AC1501" s="189">
        <f>SUM(AC1473:AC1500)</f>
        <v>5185307132</v>
      </c>
      <c r="AD1501" s="188">
        <f>SUM(AD1473:AD1500)/27</f>
        <v>80.202473142789671</v>
      </c>
    </row>
    <row r="1502" spans="2:30" ht="27">
      <c r="B1502" s="66"/>
      <c r="C1502" s="63" t="s">
        <v>760</v>
      </c>
      <c r="D1502" s="64" t="s">
        <v>761</v>
      </c>
      <c r="E1502" s="484"/>
      <c r="F1502" s="484"/>
      <c r="G1502" s="472"/>
      <c r="H1502" s="484"/>
      <c r="I1502" s="472"/>
      <c r="J1502" s="212"/>
      <c r="K1502" s="447"/>
      <c r="L1502" s="66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  <c r="W1502" s="63"/>
      <c r="X1502" s="63"/>
      <c r="Y1502" s="63"/>
      <c r="Z1502" s="63"/>
      <c r="AA1502" s="63"/>
      <c r="AB1502" s="63"/>
      <c r="AC1502" s="63"/>
      <c r="AD1502" s="63"/>
    </row>
    <row r="1503" spans="2:30" ht="40.5">
      <c r="B1503" s="13"/>
      <c r="C1503" s="86" t="s">
        <v>762</v>
      </c>
      <c r="D1503" s="86" t="s">
        <v>763</v>
      </c>
      <c r="E1503" s="87"/>
      <c r="F1503" s="485"/>
      <c r="G1503" s="441"/>
      <c r="H1503" s="87"/>
      <c r="I1503" s="87"/>
      <c r="J1503" s="209"/>
      <c r="K1503" s="209"/>
      <c r="L1503" s="13" t="s">
        <v>1</v>
      </c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53"/>
      <c r="Z1503" s="53"/>
      <c r="AA1503" s="53"/>
      <c r="AB1503" s="19"/>
      <c r="AC1503" s="53"/>
      <c r="AD1503" s="19"/>
    </row>
    <row r="1504" spans="2:30" ht="27">
      <c r="B1504" s="13">
        <v>1</v>
      </c>
      <c r="C1504" s="74" t="s">
        <v>375</v>
      </c>
      <c r="D1504" s="74" t="s">
        <v>764</v>
      </c>
      <c r="E1504" s="89"/>
      <c r="F1504" s="204"/>
      <c r="G1504" s="193"/>
      <c r="H1504" s="89"/>
      <c r="I1504" s="89"/>
      <c r="J1504" s="15">
        <v>50605000</v>
      </c>
      <c r="K1504" s="99">
        <v>50605000</v>
      </c>
      <c r="L1504" s="13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53">
        <v>64</v>
      </c>
      <c r="Z1504" s="53">
        <v>64</v>
      </c>
      <c r="AA1504" s="22">
        <v>49800000</v>
      </c>
      <c r="AB1504" s="19">
        <f>AA1504/K1504*100</f>
        <v>98.409248098014032</v>
      </c>
      <c r="AC1504" s="22">
        <f t="shared" ref="AC1504:AC1544" si="481">AA1504</f>
        <v>49800000</v>
      </c>
      <c r="AD1504" s="19">
        <f>AC1504/K1504*100</f>
        <v>98.409248098014032</v>
      </c>
    </row>
    <row r="1505" spans="2:30" ht="27">
      <c r="B1505" s="13">
        <f t="shared" ref="B1505:B1516" si="482">B1504+1</f>
        <v>2</v>
      </c>
      <c r="C1505" s="74" t="s">
        <v>377</v>
      </c>
      <c r="D1505" s="74" t="s">
        <v>765</v>
      </c>
      <c r="E1505" s="89"/>
      <c r="F1505" s="204"/>
      <c r="G1505" s="193"/>
      <c r="H1505" s="89"/>
      <c r="I1505" s="89"/>
      <c r="J1505" s="15">
        <v>49820000</v>
      </c>
      <c r="K1505" s="99">
        <v>49820000</v>
      </c>
      <c r="L1505" s="13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53">
        <f t="shared" ref="Y1505:Y1542" si="483">AB1505</f>
        <v>99.759132878362095</v>
      </c>
      <c r="Z1505" s="53">
        <f t="shared" ref="Z1505:Z1543" si="484">AD1505</f>
        <v>99.759132878362095</v>
      </c>
      <c r="AA1505" s="22">
        <v>49700000</v>
      </c>
      <c r="AB1505" s="19">
        <f t="shared" ref="AB1505:AB1544" si="485">AA1505/K1505*100</f>
        <v>99.759132878362095</v>
      </c>
      <c r="AC1505" s="22">
        <f t="shared" si="481"/>
        <v>49700000</v>
      </c>
      <c r="AD1505" s="19">
        <f t="shared" ref="AD1505:AD1544" si="486">AC1505/K1505*100</f>
        <v>99.759132878362095</v>
      </c>
    </row>
    <row r="1506" spans="2:30">
      <c r="B1506" s="13">
        <f t="shared" si="482"/>
        <v>3</v>
      </c>
      <c r="C1506" s="74" t="s">
        <v>614</v>
      </c>
      <c r="D1506" s="74" t="s">
        <v>766</v>
      </c>
      <c r="E1506" s="89"/>
      <c r="F1506" s="204"/>
      <c r="G1506" s="193"/>
      <c r="H1506" s="89"/>
      <c r="I1506" s="89"/>
      <c r="J1506" s="15">
        <v>83658000</v>
      </c>
      <c r="K1506" s="99">
        <v>83658000</v>
      </c>
      <c r="L1506" s="13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53">
        <v>50</v>
      </c>
      <c r="Z1506" s="53">
        <v>47</v>
      </c>
      <c r="AA1506" s="22">
        <v>83656000</v>
      </c>
      <c r="AB1506" s="19">
        <f t="shared" si="485"/>
        <v>99.997609314112225</v>
      </c>
      <c r="AC1506" s="22">
        <f t="shared" si="481"/>
        <v>83656000</v>
      </c>
      <c r="AD1506" s="19">
        <f t="shared" si="486"/>
        <v>99.997609314112225</v>
      </c>
    </row>
    <row r="1507" spans="2:30" ht="40.5">
      <c r="B1507" s="13">
        <f t="shared" si="482"/>
        <v>4</v>
      </c>
      <c r="C1507" s="74" t="s">
        <v>379</v>
      </c>
      <c r="D1507" s="74" t="s">
        <v>767</v>
      </c>
      <c r="E1507" s="89"/>
      <c r="F1507" s="204"/>
      <c r="G1507" s="193"/>
      <c r="H1507" s="89"/>
      <c r="I1507" s="89"/>
      <c r="J1507" s="15">
        <v>20851000</v>
      </c>
      <c r="K1507" s="99">
        <v>20851000</v>
      </c>
      <c r="L1507" s="13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53">
        <v>100</v>
      </c>
      <c r="Z1507" s="53">
        <v>100</v>
      </c>
      <c r="AA1507" s="22">
        <v>20851000</v>
      </c>
      <c r="AB1507" s="19">
        <f t="shared" si="485"/>
        <v>100</v>
      </c>
      <c r="AC1507" s="22">
        <f t="shared" si="481"/>
        <v>20851000</v>
      </c>
      <c r="AD1507" s="19">
        <f t="shared" si="486"/>
        <v>100</v>
      </c>
    </row>
    <row r="1508" spans="2:30">
      <c r="B1508" s="13">
        <f t="shared" si="482"/>
        <v>5</v>
      </c>
      <c r="C1508" s="74" t="s">
        <v>655</v>
      </c>
      <c r="D1508" s="74" t="s">
        <v>768</v>
      </c>
      <c r="E1508" s="89"/>
      <c r="F1508" s="204"/>
      <c r="G1508" s="193"/>
      <c r="H1508" s="89"/>
      <c r="I1508" s="89"/>
      <c r="J1508" s="15">
        <v>182322000</v>
      </c>
      <c r="K1508" s="99">
        <v>216580000</v>
      </c>
      <c r="L1508" s="13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53">
        <v>90</v>
      </c>
      <c r="Z1508" s="53">
        <v>90</v>
      </c>
      <c r="AA1508" s="53">
        <v>216579000</v>
      </c>
      <c r="AB1508" s="19">
        <f t="shared" si="485"/>
        <v>99.999538276849194</v>
      </c>
      <c r="AC1508" s="22">
        <f t="shared" si="481"/>
        <v>216579000</v>
      </c>
      <c r="AD1508" s="19">
        <f t="shared" si="486"/>
        <v>99.999538276849194</v>
      </c>
    </row>
    <row r="1509" spans="2:30">
      <c r="B1509" s="13">
        <f t="shared" si="482"/>
        <v>6</v>
      </c>
      <c r="C1509" s="74" t="s">
        <v>381</v>
      </c>
      <c r="D1509" s="74" t="s">
        <v>769</v>
      </c>
      <c r="E1509" s="89"/>
      <c r="F1509" s="204"/>
      <c r="G1509" s="193"/>
      <c r="H1509" s="89"/>
      <c r="I1509" s="89"/>
      <c r="J1509" s="15">
        <v>15223000</v>
      </c>
      <c r="K1509" s="99">
        <v>15223000</v>
      </c>
      <c r="L1509" s="13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53">
        <v>100</v>
      </c>
      <c r="Z1509" s="53">
        <v>100</v>
      </c>
      <c r="AA1509" s="53">
        <v>1830000</v>
      </c>
      <c r="AB1509" s="19">
        <f t="shared" si="485"/>
        <v>12.021283584050451</v>
      </c>
      <c r="AC1509" s="22">
        <f t="shared" si="481"/>
        <v>1830000</v>
      </c>
      <c r="AD1509" s="19">
        <f t="shared" si="486"/>
        <v>12.021283584050451</v>
      </c>
    </row>
    <row r="1510" spans="2:30">
      <c r="B1510" s="13">
        <f t="shared" si="482"/>
        <v>7</v>
      </c>
      <c r="C1510" s="74" t="s">
        <v>617</v>
      </c>
      <c r="D1510" s="74" t="s">
        <v>770</v>
      </c>
      <c r="E1510" s="89"/>
      <c r="F1510" s="204"/>
      <c r="G1510" s="193"/>
      <c r="H1510" s="89"/>
      <c r="I1510" s="89"/>
      <c r="J1510" s="15">
        <v>9618000</v>
      </c>
      <c r="K1510" s="99">
        <v>58318000</v>
      </c>
      <c r="L1510" s="13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53">
        <f t="shared" si="483"/>
        <v>99.982852635549918</v>
      </c>
      <c r="Z1510" s="53">
        <f t="shared" si="484"/>
        <v>99.982852635549918</v>
      </c>
      <c r="AA1510" s="53">
        <v>58308000</v>
      </c>
      <c r="AB1510" s="19">
        <f t="shared" si="485"/>
        <v>99.982852635549918</v>
      </c>
      <c r="AC1510" s="22">
        <f t="shared" si="481"/>
        <v>58308000</v>
      </c>
      <c r="AD1510" s="19">
        <f t="shared" si="486"/>
        <v>99.982852635549918</v>
      </c>
    </row>
    <row r="1511" spans="2:30">
      <c r="B1511" s="13">
        <f t="shared" si="482"/>
        <v>8</v>
      </c>
      <c r="C1511" s="74" t="s">
        <v>771</v>
      </c>
      <c r="D1511" s="74" t="s">
        <v>772</v>
      </c>
      <c r="E1511" s="89"/>
      <c r="F1511" s="204"/>
      <c r="G1511" s="193"/>
      <c r="H1511" s="89"/>
      <c r="I1511" s="89"/>
      <c r="J1511" s="15">
        <v>241111000</v>
      </c>
      <c r="K1511" s="99">
        <v>241111000</v>
      </c>
      <c r="L1511" s="13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53">
        <v>60</v>
      </c>
      <c r="Z1511" s="53">
        <v>60</v>
      </c>
      <c r="AA1511" s="22">
        <v>228125480</v>
      </c>
      <c r="AB1511" s="19">
        <f t="shared" si="485"/>
        <v>94.614297978939163</v>
      </c>
      <c r="AC1511" s="22">
        <f t="shared" si="481"/>
        <v>228125480</v>
      </c>
      <c r="AD1511" s="19">
        <f t="shared" si="486"/>
        <v>94.614297978939163</v>
      </c>
    </row>
    <row r="1512" spans="2:30" ht="27">
      <c r="B1512" s="13">
        <f t="shared" si="482"/>
        <v>9</v>
      </c>
      <c r="C1512" s="74" t="s">
        <v>383</v>
      </c>
      <c r="D1512" s="74" t="s">
        <v>773</v>
      </c>
      <c r="E1512" s="89"/>
      <c r="F1512" s="204"/>
      <c r="G1512" s="193"/>
      <c r="H1512" s="89"/>
      <c r="I1512" s="89"/>
      <c r="J1512" s="15">
        <v>2600000</v>
      </c>
      <c r="K1512" s="99">
        <v>2600000</v>
      </c>
      <c r="L1512" s="13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53">
        <f t="shared" si="483"/>
        <v>17.076923076923077</v>
      </c>
      <c r="Z1512" s="53">
        <f t="shared" si="484"/>
        <v>17.076923076923077</v>
      </c>
      <c r="AA1512" s="22">
        <v>444000</v>
      </c>
      <c r="AB1512" s="19">
        <f t="shared" si="485"/>
        <v>17.076923076923077</v>
      </c>
      <c r="AC1512" s="22">
        <f t="shared" si="481"/>
        <v>444000</v>
      </c>
      <c r="AD1512" s="19">
        <f t="shared" si="486"/>
        <v>17.076923076923077</v>
      </c>
    </row>
    <row r="1513" spans="2:30" ht="27">
      <c r="B1513" s="13">
        <f t="shared" si="482"/>
        <v>10</v>
      </c>
      <c r="C1513" s="74" t="s">
        <v>385</v>
      </c>
      <c r="D1513" s="74" t="s">
        <v>774</v>
      </c>
      <c r="E1513" s="89"/>
      <c r="F1513" s="204"/>
      <c r="G1513" s="193"/>
      <c r="H1513" s="89"/>
      <c r="I1513" s="89"/>
      <c r="J1513" s="15">
        <v>8915000</v>
      </c>
      <c r="K1513" s="99">
        <v>8915000</v>
      </c>
      <c r="L1513" s="13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53">
        <f t="shared" ref="Y1513:Y1515" si="487">AB1513</f>
        <v>95.512058328659563</v>
      </c>
      <c r="Z1513" s="53">
        <f t="shared" ref="Z1513:Z1515" si="488">AD1513</f>
        <v>95.512058328659563</v>
      </c>
      <c r="AA1513" s="53">
        <v>8514900</v>
      </c>
      <c r="AB1513" s="19">
        <f t="shared" si="485"/>
        <v>95.512058328659563</v>
      </c>
      <c r="AC1513" s="22">
        <f t="shared" si="481"/>
        <v>8514900</v>
      </c>
      <c r="AD1513" s="19">
        <f t="shared" si="486"/>
        <v>95.512058328659563</v>
      </c>
    </row>
    <row r="1514" spans="2:30">
      <c r="B1514" s="13">
        <f t="shared" si="482"/>
        <v>11</v>
      </c>
      <c r="C1514" s="74" t="s">
        <v>621</v>
      </c>
      <c r="D1514" s="74" t="s">
        <v>775</v>
      </c>
      <c r="E1514" s="89"/>
      <c r="F1514" s="204"/>
      <c r="G1514" s="193"/>
      <c r="H1514" s="89"/>
      <c r="I1514" s="89"/>
      <c r="J1514" s="15">
        <v>39741000</v>
      </c>
      <c r="K1514" s="99">
        <v>39741000</v>
      </c>
      <c r="L1514" s="13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53">
        <f t="shared" si="487"/>
        <v>99.787373241740269</v>
      </c>
      <c r="Z1514" s="53">
        <f t="shared" si="488"/>
        <v>99.787373241740269</v>
      </c>
      <c r="AA1514" s="53">
        <v>39656500</v>
      </c>
      <c r="AB1514" s="19">
        <f t="shared" si="485"/>
        <v>99.787373241740269</v>
      </c>
      <c r="AC1514" s="22">
        <f t="shared" si="481"/>
        <v>39656500</v>
      </c>
      <c r="AD1514" s="19">
        <f t="shared" si="486"/>
        <v>99.787373241740269</v>
      </c>
    </row>
    <row r="1515" spans="2:30">
      <c r="B1515" s="13">
        <f t="shared" si="482"/>
        <v>12</v>
      </c>
      <c r="C1515" s="74" t="s">
        <v>623</v>
      </c>
      <c r="D1515" s="58" t="s">
        <v>2329</v>
      </c>
      <c r="E1515" s="89"/>
      <c r="F1515" s="204"/>
      <c r="G1515" s="193"/>
      <c r="H1515" s="89"/>
      <c r="I1515" s="89"/>
      <c r="J1515" s="15"/>
      <c r="K1515" s="99">
        <v>112550000</v>
      </c>
      <c r="L1515" s="13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53">
        <f t="shared" si="487"/>
        <v>99.999822301199472</v>
      </c>
      <c r="Z1515" s="53">
        <f t="shared" si="488"/>
        <v>99.999822301199472</v>
      </c>
      <c r="AA1515" s="53">
        <v>112549800</v>
      </c>
      <c r="AB1515" s="19">
        <f t="shared" si="485"/>
        <v>99.999822301199472</v>
      </c>
      <c r="AC1515" s="22">
        <f t="shared" si="481"/>
        <v>112549800</v>
      </c>
      <c r="AD1515" s="19">
        <f t="shared" si="486"/>
        <v>99.999822301199472</v>
      </c>
    </row>
    <row r="1516" spans="2:30">
      <c r="B1516" s="13">
        <f t="shared" si="482"/>
        <v>13</v>
      </c>
      <c r="C1516" s="74" t="s">
        <v>960</v>
      </c>
      <c r="D1516" s="58" t="s">
        <v>2330</v>
      </c>
      <c r="E1516" s="89"/>
      <c r="F1516" s="204"/>
      <c r="G1516" s="193"/>
      <c r="H1516" s="89"/>
      <c r="I1516" s="89"/>
      <c r="J1516" s="15"/>
      <c r="K1516" s="99">
        <v>30000000</v>
      </c>
      <c r="L1516" s="13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53">
        <f>AB1516</f>
        <v>90.744933333333336</v>
      </c>
      <c r="Z1516" s="53">
        <f>AD1516</f>
        <v>90.744933333333336</v>
      </c>
      <c r="AA1516" s="53">
        <v>27223480</v>
      </c>
      <c r="AB1516" s="19">
        <f t="shared" si="485"/>
        <v>90.744933333333336</v>
      </c>
      <c r="AC1516" s="22">
        <f t="shared" si="481"/>
        <v>27223480</v>
      </c>
      <c r="AD1516" s="19">
        <f t="shared" si="486"/>
        <v>90.744933333333336</v>
      </c>
    </row>
    <row r="1517" spans="2:30" ht="16.5">
      <c r="B1517" s="13"/>
      <c r="C1517" s="86" t="s">
        <v>776</v>
      </c>
      <c r="D1517" s="86" t="s">
        <v>743</v>
      </c>
      <c r="E1517" s="87"/>
      <c r="F1517" s="485"/>
      <c r="G1517" s="441"/>
      <c r="H1517" s="87"/>
      <c r="I1517" s="87"/>
      <c r="J1517" s="209"/>
      <c r="K1517" s="16"/>
      <c r="L1517" s="13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53"/>
      <c r="Z1517" s="53"/>
      <c r="AA1517" s="53"/>
      <c r="AB1517" s="19"/>
      <c r="AC1517" s="53">
        <f t="shared" si="481"/>
        <v>0</v>
      </c>
      <c r="AD1517" s="19"/>
    </row>
    <row r="1518" spans="2:30" ht="27">
      <c r="B1518" s="13">
        <f>B1516+1</f>
        <v>14</v>
      </c>
      <c r="C1518" s="74" t="s">
        <v>238</v>
      </c>
      <c r="D1518" s="74" t="s">
        <v>777</v>
      </c>
      <c r="E1518" s="89"/>
      <c r="F1518" s="204"/>
      <c r="G1518" s="193"/>
      <c r="H1518" s="89"/>
      <c r="I1518" s="89"/>
      <c r="J1518" s="15">
        <v>8689000</v>
      </c>
      <c r="K1518" s="15">
        <v>8689000</v>
      </c>
      <c r="L1518" s="13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53">
        <f t="shared" si="483"/>
        <v>31.867878927379444</v>
      </c>
      <c r="Z1518" s="53">
        <f t="shared" si="484"/>
        <v>31.867878927379444</v>
      </c>
      <c r="AA1518" s="53">
        <v>2769000</v>
      </c>
      <c r="AB1518" s="19">
        <f t="shared" si="485"/>
        <v>31.867878927379444</v>
      </c>
      <c r="AC1518" s="53">
        <f t="shared" si="481"/>
        <v>2769000</v>
      </c>
      <c r="AD1518" s="19">
        <f t="shared" si="486"/>
        <v>31.867878927379444</v>
      </c>
    </row>
    <row r="1519" spans="2:30" ht="27">
      <c r="B1519" s="13"/>
      <c r="C1519" s="86" t="s">
        <v>760</v>
      </c>
      <c r="D1519" s="86" t="s">
        <v>26</v>
      </c>
      <c r="E1519" s="87"/>
      <c r="F1519" s="485"/>
      <c r="G1519" s="441"/>
      <c r="H1519" s="87"/>
      <c r="I1519" s="87"/>
      <c r="J1519" s="209"/>
      <c r="K1519" s="209"/>
      <c r="L1519" s="13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53"/>
      <c r="Z1519" s="53"/>
      <c r="AA1519" s="53"/>
      <c r="AB1519" s="19"/>
      <c r="AC1519" s="53"/>
      <c r="AD1519" s="19"/>
    </row>
    <row r="1520" spans="2:30">
      <c r="B1520" s="13">
        <f>B1518+1</f>
        <v>15</v>
      </c>
      <c r="C1520" s="74" t="s">
        <v>203</v>
      </c>
      <c r="D1520" s="74" t="s">
        <v>28</v>
      </c>
      <c r="E1520" s="89"/>
      <c r="F1520" s="204"/>
      <c r="G1520" s="193"/>
      <c r="H1520" s="89"/>
      <c r="I1520" s="89"/>
      <c r="J1520" s="15">
        <v>132356000</v>
      </c>
      <c r="K1520" s="99">
        <v>311451000</v>
      </c>
      <c r="L1520" s="13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53">
        <f>AB1520</f>
        <v>89.894281283412155</v>
      </c>
      <c r="Z1520" s="53">
        <f>AD1520</f>
        <v>89.894281283412155</v>
      </c>
      <c r="AA1520" s="22">
        <v>279976638</v>
      </c>
      <c r="AB1520" s="19">
        <f t="shared" si="485"/>
        <v>89.894281283412155</v>
      </c>
      <c r="AC1520" s="22">
        <f t="shared" si="481"/>
        <v>279976638</v>
      </c>
      <c r="AD1520" s="19">
        <f t="shared" si="486"/>
        <v>89.894281283412155</v>
      </c>
    </row>
    <row r="1521" spans="2:30">
      <c r="B1521" s="13">
        <f t="shared" ref="B1521:B1560" si="489">B1520+1</f>
        <v>16</v>
      </c>
      <c r="C1521" s="74" t="s">
        <v>210</v>
      </c>
      <c r="D1521" s="74" t="s">
        <v>30</v>
      </c>
      <c r="E1521" s="89"/>
      <c r="F1521" s="204"/>
      <c r="G1521" s="193"/>
      <c r="H1521" s="89"/>
      <c r="I1521" s="89"/>
      <c r="J1521" s="15">
        <v>88370000</v>
      </c>
      <c r="K1521" s="99">
        <v>83290000</v>
      </c>
      <c r="L1521" s="13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53">
        <f t="shared" ref="Y1521:Y1526" si="490">AB1521</f>
        <v>98.74932404850523</v>
      </c>
      <c r="Z1521" s="53">
        <f t="shared" ref="Z1521:Z1526" si="491">AD1521</f>
        <v>98.74932404850523</v>
      </c>
      <c r="AA1521" s="22">
        <v>82248312</v>
      </c>
      <c r="AB1521" s="19">
        <f t="shared" si="485"/>
        <v>98.74932404850523</v>
      </c>
      <c r="AC1521" s="22">
        <f t="shared" si="481"/>
        <v>82248312</v>
      </c>
      <c r="AD1521" s="19">
        <f t="shared" si="486"/>
        <v>98.74932404850523</v>
      </c>
    </row>
    <row r="1522" spans="2:30">
      <c r="B1522" s="13">
        <f t="shared" si="489"/>
        <v>17</v>
      </c>
      <c r="C1522" s="74" t="s">
        <v>204</v>
      </c>
      <c r="D1522" s="74" t="s">
        <v>32</v>
      </c>
      <c r="E1522" s="89"/>
      <c r="F1522" s="204"/>
      <c r="G1522" s="193"/>
      <c r="H1522" s="89"/>
      <c r="I1522" s="89"/>
      <c r="J1522" s="15">
        <v>271000000</v>
      </c>
      <c r="K1522" s="99">
        <v>271000000</v>
      </c>
      <c r="L1522" s="13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53">
        <f t="shared" si="490"/>
        <v>73.586245387453872</v>
      </c>
      <c r="Z1522" s="53">
        <f t="shared" si="491"/>
        <v>73.586245387453872</v>
      </c>
      <c r="AA1522" s="22">
        <v>199418725</v>
      </c>
      <c r="AB1522" s="19">
        <f t="shared" si="485"/>
        <v>73.586245387453872</v>
      </c>
      <c r="AC1522" s="22">
        <f t="shared" si="481"/>
        <v>199418725</v>
      </c>
      <c r="AD1522" s="19">
        <f t="shared" si="486"/>
        <v>73.586245387453872</v>
      </c>
    </row>
    <row r="1523" spans="2:30">
      <c r="B1523" s="13">
        <f t="shared" si="489"/>
        <v>18</v>
      </c>
      <c r="C1523" s="74" t="s">
        <v>778</v>
      </c>
      <c r="D1523" s="74" t="s">
        <v>779</v>
      </c>
      <c r="E1523" s="89"/>
      <c r="F1523" s="204"/>
      <c r="G1523" s="193"/>
      <c r="H1523" s="89"/>
      <c r="I1523" s="89"/>
      <c r="J1523" s="15">
        <v>33603000</v>
      </c>
      <c r="K1523" s="99">
        <v>26043000</v>
      </c>
      <c r="L1523" s="13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53">
        <f t="shared" si="490"/>
        <v>96.367545981645748</v>
      </c>
      <c r="Z1523" s="53">
        <f t="shared" si="491"/>
        <v>96.367545981645748</v>
      </c>
      <c r="AA1523" s="22">
        <v>25097000</v>
      </c>
      <c r="AB1523" s="19">
        <f t="shared" si="485"/>
        <v>96.367545981645748</v>
      </c>
      <c r="AC1523" s="22">
        <f t="shared" si="481"/>
        <v>25097000</v>
      </c>
      <c r="AD1523" s="19">
        <f t="shared" si="486"/>
        <v>96.367545981645748</v>
      </c>
    </row>
    <row r="1524" spans="2:30">
      <c r="B1524" s="13">
        <f t="shared" si="489"/>
        <v>19</v>
      </c>
      <c r="C1524" s="74" t="s">
        <v>205</v>
      </c>
      <c r="D1524" s="74" t="s">
        <v>34</v>
      </c>
      <c r="E1524" s="89"/>
      <c r="F1524" s="204"/>
      <c r="G1524" s="193"/>
      <c r="H1524" s="89"/>
      <c r="I1524" s="89"/>
      <c r="J1524" s="15">
        <v>28500000</v>
      </c>
      <c r="K1524" s="99">
        <v>72946000</v>
      </c>
      <c r="L1524" s="13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53">
        <f t="shared" si="490"/>
        <v>43.356729635620873</v>
      </c>
      <c r="Z1524" s="53">
        <f t="shared" si="491"/>
        <v>43.356729635620873</v>
      </c>
      <c r="AA1524" s="22">
        <v>31627000</v>
      </c>
      <c r="AB1524" s="19">
        <f t="shared" si="485"/>
        <v>43.356729635620873</v>
      </c>
      <c r="AC1524" s="22">
        <f t="shared" si="481"/>
        <v>31627000</v>
      </c>
      <c r="AD1524" s="19">
        <f t="shared" si="486"/>
        <v>43.356729635620873</v>
      </c>
    </row>
    <row r="1525" spans="2:30">
      <c r="B1525" s="13">
        <f t="shared" si="489"/>
        <v>20</v>
      </c>
      <c r="C1525" s="74" t="s">
        <v>215</v>
      </c>
      <c r="D1525" s="74" t="s">
        <v>36</v>
      </c>
      <c r="E1525" s="89"/>
      <c r="F1525" s="204"/>
      <c r="G1525" s="193"/>
      <c r="H1525" s="89"/>
      <c r="I1525" s="89"/>
      <c r="J1525" s="15">
        <v>4000000</v>
      </c>
      <c r="K1525" s="99">
        <v>9080000</v>
      </c>
      <c r="L1525" s="13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53">
        <f t="shared" si="490"/>
        <v>100</v>
      </c>
      <c r="Z1525" s="53">
        <f t="shared" si="491"/>
        <v>100</v>
      </c>
      <c r="AA1525" s="22">
        <v>9080000</v>
      </c>
      <c r="AB1525" s="19">
        <f t="shared" si="485"/>
        <v>100</v>
      </c>
      <c r="AC1525" s="22">
        <f t="shared" si="481"/>
        <v>9080000</v>
      </c>
      <c r="AD1525" s="19">
        <f t="shared" si="486"/>
        <v>100</v>
      </c>
    </row>
    <row r="1526" spans="2:30" ht="25.5">
      <c r="B1526" s="13">
        <f t="shared" si="489"/>
        <v>21</v>
      </c>
      <c r="C1526" s="74" t="s">
        <v>216</v>
      </c>
      <c r="D1526" s="21" t="s">
        <v>38</v>
      </c>
      <c r="E1526" s="89"/>
      <c r="F1526" s="204"/>
      <c r="G1526" s="193"/>
      <c r="H1526" s="89"/>
      <c r="I1526" s="89"/>
      <c r="J1526" s="15">
        <v>4845000</v>
      </c>
      <c r="K1526" s="99">
        <v>3707000</v>
      </c>
      <c r="L1526" s="13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53">
        <f t="shared" si="490"/>
        <v>100</v>
      </c>
      <c r="Z1526" s="53">
        <f t="shared" si="491"/>
        <v>100</v>
      </c>
      <c r="AA1526" s="22">
        <v>3707000</v>
      </c>
      <c r="AB1526" s="19">
        <f t="shared" si="485"/>
        <v>100</v>
      </c>
      <c r="AC1526" s="22">
        <f t="shared" si="481"/>
        <v>3707000</v>
      </c>
      <c r="AD1526" s="19">
        <f t="shared" si="486"/>
        <v>100</v>
      </c>
    </row>
    <row r="1527" spans="2:30" ht="27">
      <c r="B1527" s="13"/>
      <c r="C1527" s="86" t="s">
        <v>780</v>
      </c>
      <c r="D1527" s="86" t="s">
        <v>781</v>
      </c>
      <c r="E1527" s="87"/>
      <c r="F1527" s="485"/>
      <c r="G1527" s="441"/>
      <c r="H1527" s="87"/>
      <c r="I1527" s="87"/>
      <c r="J1527" s="209"/>
      <c r="K1527" s="209"/>
      <c r="L1527" s="13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53"/>
      <c r="Z1527" s="53"/>
      <c r="AA1527" s="22"/>
      <c r="AB1527" s="19"/>
      <c r="AC1527" s="22"/>
      <c r="AD1527" s="19"/>
    </row>
    <row r="1528" spans="2:30">
      <c r="B1528" s="13">
        <f>B1526+1</f>
        <v>22</v>
      </c>
      <c r="C1528" s="74" t="s">
        <v>219</v>
      </c>
      <c r="D1528" s="74" t="s">
        <v>782</v>
      </c>
      <c r="E1528" s="89"/>
      <c r="F1528" s="204"/>
      <c r="G1528" s="193"/>
      <c r="H1528" s="89"/>
      <c r="I1528" s="89"/>
      <c r="J1528" s="15">
        <v>18382000</v>
      </c>
      <c r="K1528" s="99">
        <v>18382000</v>
      </c>
      <c r="L1528" s="13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53">
        <f t="shared" si="483"/>
        <v>0</v>
      </c>
      <c r="Z1528" s="53">
        <f t="shared" si="484"/>
        <v>0</v>
      </c>
      <c r="AA1528" s="22">
        <v>0</v>
      </c>
      <c r="AB1528" s="19">
        <f t="shared" si="485"/>
        <v>0</v>
      </c>
      <c r="AC1528" s="22">
        <f t="shared" si="481"/>
        <v>0</v>
      </c>
      <c r="AD1528" s="19">
        <f t="shared" si="486"/>
        <v>0</v>
      </c>
    </row>
    <row r="1529" spans="2:30">
      <c r="B1529" s="13">
        <f t="shared" si="489"/>
        <v>23</v>
      </c>
      <c r="C1529" s="74" t="s">
        <v>221</v>
      </c>
      <c r="D1529" s="74" t="s">
        <v>783</v>
      </c>
      <c r="E1529" s="89"/>
      <c r="F1529" s="204"/>
      <c r="G1529" s="193"/>
      <c r="H1529" s="89"/>
      <c r="I1529" s="89"/>
      <c r="J1529" s="15">
        <v>13000000</v>
      </c>
      <c r="K1529" s="99">
        <v>13000000</v>
      </c>
      <c r="L1529" s="13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53">
        <f t="shared" si="483"/>
        <v>95.215384615384608</v>
      </c>
      <c r="Z1529" s="53">
        <f t="shared" si="484"/>
        <v>95.215384615384608</v>
      </c>
      <c r="AA1529" s="22">
        <v>12378000</v>
      </c>
      <c r="AB1529" s="19">
        <f t="shared" si="485"/>
        <v>95.215384615384608</v>
      </c>
      <c r="AC1529" s="22">
        <f t="shared" si="481"/>
        <v>12378000</v>
      </c>
      <c r="AD1529" s="19">
        <f t="shared" si="486"/>
        <v>95.215384615384608</v>
      </c>
    </row>
    <row r="1530" spans="2:30">
      <c r="B1530" s="13">
        <f t="shared" si="489"/>
        <v>24</v>
      </c>
      <c r="C1530" s="74" t="s">
        <v>600</v>
      </c>
      <c r="D1530" s="74" t="s">
        <v>784</v>
      </c>
      <c r="E1530" s="89"/>
      <c r="F1530" s="204"/>
      <c r="G1530" s="193"/>
      <c r="H1530" s="89"/>
      <c r="I1530" s="89"/>
      <c r="J1530" s="15">
        <v>6755000</v>
      </c>
      <c r="K1530" s="99">
        <v>6755000</v>
      </c>
      <c r="L1530" s="13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53">
        <f t="shared" si="483"/>
        <v>97.631384159881577</v>
      </c>
      <c r="Z1530" s="53">
        <f t="shared" si="484"/>
        <v>97.631384159881577</v>
      </c>
      <c r="AA1530" s="22">
        <v>6595000</v>
      </c>
      <c r="AB1530" s="19">
        <f t="shared" si="485"/>
        <v>97.631384159881577</v>
      </c>
      <c r="AC1530" s="22">
        <f t="shared" si="481"/>
        <v>6595000</v>
      </c>
      <c r="AD1530" s="19">
        <f t="shared" si="486"/>
        <v>97.631384159881577</v>
      </c>
    </row>
    <row r="1531" spans="2:30">
      <c r="B1531" s="13">
        <f t="shared" si="489"/>
        <v>25</v>
      </c>
      <c r="C1531" s="74" t="s">
        <v>564</v>
      </c>
      <c r="D1531" s="74" t="s">
        <v>785</v>
      </c>
      <c r="E1531" s="89"/>
      <c r="F1531" s="204"/>
      <c r="G1531" s="193"/>
      <c r="H1531" s="89"/>
      <c r="I1531" s="89"/>
      <c r="J1531" s="15">
        <v>45000000</v>
      </c>
      <c r="K1531" s="99">
        <v>45000000</v>
      </c>
      <c r="L1531" s="13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53">
        <v>100</v>
      </c>
      <c r="Z1531" s="53">
        <v>100</v>
      </c>
      <c r="AA1531" s="22">
        <v>39517500</v>
      </c>
      <c r="AB1531" s="19">
        <f t="shared" si="485"/>
        <v>87.816666666666663</v>
      </c>
      <c r="AC1531" s="22">
        <f t="shared" si="481"/>
        <v>39517500</v>
      </c>
      <c r="AD1531" s="19">
        <f t="shared" si="486"/>
        <v>87.816666666666663</v>
      </c>
    </row>
    <row r="1532" spans="2:30">
      <c r="B1532" s="13">
        <f t="shared" si="489"/>
        <v>26</v>
      </c>
      <c r="C1532" s="74" t="s">
        <v>666</v>
      </c>
      <c r="D1532" s="74" t="s">
        <v>786</v>
      </c>
      <c r="E1532" s="89"/>
      <c r="F1532" s="204"/>
      <c r="G1532" s="193"/>
      <c r="H1532" s="89"/>
      <c r="I1532" s="89"/>
      <c r="J1532" s="15">
        <v>62871000</v>
      </c>
      <c r="K1532" s="99">
        <v>62871000</v>
      </c>
      <c r="L1532" s="13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53">
        <f t="shared" si="483"/>
        <v>94.417139857804074</v>
      </c>
      <c r="Z1532" s="53">
        <f t="shared" si="484"/>
        <v>94.417139857804074</v>
      </c>
      <c r="AA1532" s="22">
        <v>59361000</v>
      </c>
      <c r="AB1532" s="19">
        <f t="shared" si="485"/>
        <v>94.417139857804074</v>
      </c>
      <c r="AC1532" s="22">
        <f t="shared" si="481"/>
        <v>59361000</v>
      </c>
      <c r="AD1532" s="19">
        <f t="shared" si="486"/>
        <v>94.417139857804074</v>
      </c>
    </row>
    <row r="1533" spans="2:30">
      <c r="B1533" s="13">
        <f t="shared" si="489"/>
        <v>27</v>
      </c>
      <c r="C1533" s="81">
        <v>15.009</v>
      </c>
      <c r="D1533" s="21" t="s">
        <v>787</v>
      </c>
      <c r="E1533" s="89"/>
      <c r="F1533" s="204"/>
      <c r="G1533" s="193"/>
      <c r="H1533" s="89"/>
      <c r="I1533" s="89"/>
      <c r="J1533" s="15">
        <v>89965000</v>
      </c>
      <c r="K1533" s="99">
        <v>122434000</v>
      </c>
      <c r="L1533" s="13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53">
        <f t="shared" si="483"/>
        <v>93.099853798781382</v>
      </c>
      <c r="Z1533" s="53">
        <v>72</v>
      </c>
      <c r="AA1533" s="22">
        <v>113985875</v>
      </c>
      <c r="AB1533" s="19">
        <f t="shared" si="485"/>
        <v>93.099853798781382</v>
      </c>
      <c r="AC1533" s="22">
        <f>AA1533</f>
        <v>113985875</v>
      </c>
      <c r="AD1533" s="19">
        <f t="shared" si="486"/>
        <v>93.099853798781382</v>
      </c>
    </row>
    <row r="1534" spans="2:30">
      <c r="B1534" s="13">
        <f t="shared" si="489"/>
        <v>28</v>
      </c>
      <c r="C1534" s="164" t="s">
        <v>578</v>
      </c>
      <c r="D1534" s="21" t="s">
        <v>788</v>
      </c>
      <c r="E1534" s="89"/>
      <c r="F1534" s="204"/>
      <c r="G1534" s="193"/>
      <c r="H1534" s="89"/>
      <c r="I1534" s="89"/>
      <c r="J1534" s="15">
        <v>228000000</v>
      </c>
      <c r="K1534" s="99">
        <v>310000000</v>
      </c>
      <c r="L1534" s="13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53">
        <v>80</v>
      </c>
      <c r="Z1534" s="53">
        <v>82</v>
      </c>
      <c r="AA1534" s="22">
        <v>309730000</v>
      </c>
      <c r="AB1534" s="19">
        <f t="shared" si="485"/>
        <v>99.912903225806446</v>
      </c>
      <c r="AC1534" s="22">
        <f>AA1534</f>
        <v>309730000</v>
      </c>
      <c r="AD1534" s="19">
        <f t="shared" si="486"/>
        <v>99.912903225806446</v>
      </c>
    </row>
    <row r="1535" spans="2:30" ht="25.5">
      <c r="B1535" s="13">
        <f t="shared" si="489"/>
        <v>29</v>
      </c>
      <c r="C1535" s="81">
        <v>15.010999999999999</v>
      </c>
      <c r="D1535" s="21" t="s">
        <v>789</v>
      </c>
      <c r="E1535" s="89"/>
      <c r="F1535" s="204"/>
      <c r="G1535" s="193"/>
      <c r="H1535" s="89"/>
      <c r="I1535" s="89"/>
      <c r="J1535" s="15">
        <v>72000000</v>
      </c>
      <c r="K1535" s="99">
        <v>72000000</v>
      </c>
      <c r="L1535" s="13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53">
        <f t="shared" si="483"/>
        <v>99.533333333333331</v>
      </c>
      <c r="Z1535" s="53">
        <v>100</v>
      </c>
      <c r="AA1535" s="22">
        <v>71664000</v>
      </c>
      <c r="AB1535" s="19">
        <f t="shared" si="485"/>
        <v>99.533333333333331</v>
      </c>
      <c r="AC1535" s="22">
        <f>AA1535</f>
        <v>71664000</v>
      </c>
      <c r="AD1535" s="19">
        <f t="shared" si="486"/>
        <v>99.533333333333331</v>
      </c>
    </row>
    <row r="1536" spans="2:30" ht="30.75" customHeight="1">
      <c r="B1536" s="13"/>
      <c r="C1536" s="86" t="s">
        <v>762</v>
      </c>
      <c r="D1536" s="86" t="s">
        <v>790</v>
      </c>
      <c r="E1536" s="87"/>
      <c r="F1536" s="485"/>
      <c r="G1536" s="441"/>
      <c r="H1536" s="87"/>
      <c r="I1536" s="87"/>
      <c r="J1536" s="209"/>
      <c r="K1536" s="209"/>
      <c r="L1536" s="13"/>
      <c r="M1536" s="17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53">
        <f t="shared" si="483"/>
        <v>0</v>
      </c>
      <c r="Z1536" s="53">
        <f t="shared" si="484"/>
        <v>0</v>
      </c>
      <c r="AA1536" s="22"/>
      <c r="AB1536" s="19"/>
      <c r="AC1536" s="22"/>
      <c r="AD1536" s="19"/>
    </row>
    <row r="1537" spans="2:30" ht="27">
      <c r="B1537" s="13">
        <f>B1535+1</f>
        <v>30</v>
      </c>
      <c r="C1537" s="74" t="s">
        <v>375</v>
      </c>
      <c r="D1537" s="74" t="s">
        <v>791</v>
      </c>
      <c r="E1537" s="89"/>
      <c r="F1537" s="204"/>
      <c r="G1537" s="193"/>
      <c r="H1537" s="89"/>
      <c r="I1537" s="89"/>
      <c r="J1537" s="15">
        <v>26347000</v>
      </c>
      <c r="K1537" s="99">
        <v>26347000</v>
      </c>
      <c r="L1537" s="13"/>
      <c r="M1537" s="17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53">
        <v>70</v>
      </c>
      <c r="Z1537" s="53">
        <v>70</v>
      </c>
      <c r="AA1537" s="22">
        <v>25045500</v>
      </c>
      <c r="AB1537" s="19">
        <f t="shared" si="485"/>
        <v>95.060158651838918</v>
      </c>
      <c r="AC1537" s="22">
        <f t="shared" si="481"/>
        <v>25045500</v>
      </c>
      <c r="AD1537" s="19">
        <f t="shared" si="486"/>
        <v>95.060158651838918</v>
      </c>
    </row>
    <row r="1538" spans="2:30">
      <c r="B1538" s="13">
        <f>B1537+1</f>
        <v>31</v>
      </c>
      <c r="C1538" s="74" t="s">
        <v>377</v>
      </c>
      <c r="D1538" s="74" t="s">
        <v>792</v>
      </c>
      <c r="E1538" s="89"/>
      <c r="F1538" s="204"/>
      <c r="G1538" s="193"/>
      <c r="H1538" s="89"/>
      <c r="I1538" s="89"/>
      <c r="J1538" s="15">
        <v>48243000</v>
      </c>
      <c r="K1538" s="99">
        <v>48243000</v>
      </c>
      <c r="L1538" s="13"/>
      <c r="M1538" s="17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53">
        <v>100</v>
      </c>
      <c r="Z1538" s="53">
        <v>100</v>
      </c>
      <c r="AA1538" s="22">
        <v>48118578</v>
      </c>
      <c r="AB1538" s="19">
        <f t="shared" si="485"/>
        <v>99.742093153410863</v>
      </c>
      <c r="AC1538" s="22">
        <f t="shared" si="481"/>
        <v>48118578</v>
      </c>
      <c r="AD1538" s="19">
        <f t="shared" si="486"/>
        <v>99.742093153410863</v>
      </c>
    </row>
    <row r="1539" spans="2:30" ht="27">
      <c r="B1539" s="13">
        <f t="shared" ref="B1539:B1544" si="492">B1538+1</f>
        <v>32</v>
      </c>
      <c r="C1539" s="74" t="s">
        <v>614</v>
      </c>
      <c r="D1539" s="74" t="s">
        <v>793</v>
      </c>
      <c r="E1539" s="89"/>
      <c r="F1539" s="204"/>
      <c r="G1539" s="193"/>
      <c r="H1539" s="89"/>
      <c r="I1539" s="89"/>
      <c r="J1539" s="15">
        <v>6735000</v>
      </c>
      <c r="K1539" s="99">
        <v>6735000</v>
      </c>
      <c r="L1539" s="13"/>
      <c r="M1539" s="17"/>
      <c r="N1539" s="17"/>
      <c r="O1539" s="17"/>
      <c r="P1539" s="17"/>
      <c r="Q1539" s="17"/>
      <c r="R1539" s="17"/>
      <c r="S1539" s="17"/>
      <c r="T1539" s="17"/>
      <c r="U1539" s="17"/>
      <c r="V1539" s="17"/>
      <c r="W1539" s="17"/>
      <c r="X1539" s="17"/>
      <c r="Y1539" s="53">
        <f t="shared" si="483"/>
        <v>100</v>
      </c>
      <c r="Z1539" s="53">
        <f t="shared" si="484"/>
        <v>100</v>
      </c>
      <c r="AA1539" s="22">
        <v>6735000</v>
      </c>
      <c r="AB1539" s="19">
        <f t="shared" si="485"/>
        <v>100</v>
      </c>
      <c r="AC1539" s="22">
        <f t="shared" si="481"/>
        <v>6735000</v>
      </c>
      <c r="AD1539" s="19">
        <f t="shared" si="486"/>
        <v>100</v>
      </c>
    </row>
    <row r="1540" spans="2:30">
      <c r="B1540" s="13">
        <f t="shared" si="492"/>
        <v>33</v>
      </c>
      <c r="C1540" s="74" t="s">
        <v>379</v>
      </c>
      <c r="D1540" s="74" t="s">
        <v>794</v>
      </c>
      <c r="E1540" s="89"/>
      <c r="F1540" s="204"/>
      <c r="G1540" s="193"/>
      <c r="H1540" s="89"/>
      <c r="I1540" s="89"/>
      <c r="J1540" s="15">
        <v>29611000</v>
      </c>
      <c r="K1540" s="99">
        <v>29611000</v>
      </c>
      <c r="L1540" s="13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53">
        <v>50</v>
      </c>
      <c r="Z1540" s="53">
        <v>50</v>
      </c>
      <c r="AA1540" s="22">
        <v>20333000</v>
      </c>
      <c r="AB1540" s="19">
        <f t="shared" si="485"/>
        <v>68.667049407314849</v>
      </c>
      <c r="AC1540" s="22">
        <f t="shared" si="481"/>
        <v>20333000</v>
      </c>
      <c r="AD1540" s="19">
        <f t="shared" si="486"/>
        <v>68.667049407314849</v>
      </c>
    </row>
    <row r="1541" spans="2:30">
      <c r="B1541" s="13">
        <f t="shared" si="492"/>
        <v>34</v>
      </c>
      <c r="C1541" s="74" t="s">
        <v>381</v>
      </c>
      <c r="D1541" s="74" t="s">
        <v>795</v>
      </c>
      <c r="E1541" s="89"/>
      <c r="F1541" s="204"/>
      <c r="G1541" s="193"/>
      <c r="H1541" s="89"/>
      <c r="I1541" s="89"/>
      <c r="J1541" s="15">
        <v>14000000</v>
      </c>
      <c r="K1541" s="99">
        <v>14000000</v>
      </c>
      <c r="L1541" s="13"/>
      <c r="M1541" s="17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53">
        <f t="shared" si="483"/>
        <v>80.507142857142853</v>
      </c>
      <c r="Z1541" s="53">
        <f t="shared" si="484"/>
        <v>80.507142857142853</v>
      </c>
      <c r="AA1541" s="22">
        <v>11271000</v>
      </c>
      <c r="AB1541" s="19">
        <f t="shared" si="485"/>
        <v>80.507142857142853</v>
      </c>
      <c r="AC1541" s="22">
        <f t="shared" si="481"/>
        <v>11271000</v>
      </c>
      <c r="AD1541" s="19">
        <f t="shared" si="486"/>
        <v>80.507142857142853</v>
      </c>
    </row>
    <row r="1542" spans="2:30" ht="16.5">
      <c r="B1542" s="13"/>
      <c r="C1542" s="86" t="s">
        <v>796</v>
      </c>
      <c r="D1542" s="86" t="s">
        <v>797</v>
      </c>
      <c r="E1542" s="87"/>
      <c r="F1542" s="485"/>
      <c r="G1542" s="441"/>
      <c r="H1542" s="87"/>
      <c r="I1542" s="87"/>
      <c r="J1542" s="209"/>
      <c r="K1542" s="209"/>
      <c r="L1542" s="13"/>
      <c r="M1542" s="17"/>
      <c r="N1542" s="17"/>
      <c r="O1542" s="17"/>
      <c r="P1542" s="17"/>
      <c r="Q1542" s="17"/>
      <c r="R1542" s="17"/>
      <c r="S1542" s="17"/>
      <c r="T1542" s="17"/>
      <c r="U1542" s="17"/>
      <c r="V1542" s="17"/>
      <c r="W1542" s="17"/>
      <c r="X1542" s="17"/>
      <c r="Y1542" s="53">
        <f t="shared" si="483"/>
        <v>0</v>
      </c>
      <c r="Z1542" s="53">
        <f t="shared" si="484"/>
        <v>0</v>
      </c>
      <c r="AA1542" s="22"/>
      <c r="AB1542" s="19"/>
      <c r="AC1542" s="22"/>
      <c r="AD1542" s="19"/>
    </row>
    <row r="1543" spans="2:30">
      <c r="B1543" s="13">
        <f>B1541+1</f>
        <v>35</v>
      </c>
      <c r="C1543" s="74" t="s">
        <v>219</v>
      </c>
      <c r="D1543" s="74" t="s">
        <v>798</v>
      </c>
      <c r="E1543" s="89"/>
      <c r="F1543" s="204"/>
      <c r="G1543" s="193"/>
      <c r="H1543" s="89"/>
      <c r="I1543" s="89"/>
      <c r="J1543" s="15">
        <v>96850000</v>
      </c>
      <c r="K1543" s="99">
        <v>96850000</v>
      </c>
      <c r="L1543" s="13"/>
      <c r="M1543" s="17"/>
      <c r="N1543" s="17"/>
      <c r="O1543" s="17"/>
      <c r="P1543" s="17"/>
      <c r="Q1543" s="17"/>
      <c r="R1543" s="17"/>
      <c r="S1543" s="17"/>
      <c r="T1543" s="17"/>
      <c r="U1543" s="17"/>
      <c r="V1543" s="17"/>
      <c r="W1543" s="17"/>
      <c r="X1543" s="17"/>
      <c r="Y1543" s="53">
        <v>66</v>
      </c>
      <c r="Z1543" s="53">
        <f t="shared" si="484"/>
        <v>0</v>
      </c>
      <c r="AA1543" s="22"/>
      <c r="AB1543" s="19">
        <f t="shared" si="485"/>
        <v>0</v>
      </c>
      <c r="AC1543" s="22">
        <f t="shared" si="481"/>
        <v>0</v>
      </c>
      <c r="AD1543" s="19">
        <f t="shared" si="486"/>
        <v>0</v>
      </c>
    </row>
    <row r="1544" spans="2:30">
      <c r="B1544" s="45">
        <f t="shared" si="492"/>
        <v>36</v>
      </c>
      <c r="C1544" s="93" t="s">
        <v>221</v>
      </c>
      <c r="D1544" s="93" t="s">
        <v>799</v>
      </c>
      <c r="E1544" s="186"/>
      <c r="F1544" s="489"/>
      <c r="G1544" s="240"/>
      <c r="H1544" s="186"/>
      <c r="I1544" s="186"/>
      <c r="J1544" s="15">
        <v>7569000</v>
      </c>
      <c r="K1544" s="99">
        <v>7569000</v>
      </c>
      <c r="L1544" s="45"/>
      <c r="M1544" s="44"/>
      <c r="N1544" s="44"/>
      <c r="O1544" s="44"/>
      <c r="P1544" s="44"/>
      <c r="Q1544" s="44"/>
      <c r="R1544" s="44"/>
      <c r="S1544" s="44"/>
      <c r="T1544" s="44"/>
      <c r="U1544" s="44"/>
      <c r="V1544" s="44"/>
      <c r="W1544" s="44"/>
      <c r="X1544" s="44"/>
      <c r="Y1544" s="53">
        <v>80</v>
      </c>
      <c r="Z1544" s="53">
        <v>80</v>
      </c>
      <c r="AA1544" s="73">
        <v>2081000</v>
      </c>
      <c r="AB1544" s="19">
        <f t="shared" si="485"/>
        <v>27.49372440216673</v>
      </c>
      <c r="AC1544" s="73">
        <f t="shared" si="481"/>
        <v>2081000</v>
      </c>
      <c r="AD1544" s="19">
        <f t="shared" si="486"/>
        <v>27.49372440216673</v>
      </c>
    </row>
    <row r="1545" spans="2:30">
      <c r="B1545" s="37">
        <v>126</v>
      </c>
      <c r="C1545" s="855" t="s">
        <v>800</v>
      </c>
      <c r="D1545" s="855"/>
      <c r="E1545" s="483"/>
      <c r="F1545" s="483">
        <v>36</v>
      </c>
      <c r="G1545" s="468"/>
      <c r="H1545" s="483"/>
      <c r="I1545" s="468"/>
      <c r="J1545" s="208">
        <f>SUM(J1504:J1544)</f>
        <v>2041155000</v>
      </c>
      <c r="K1545" s="208">
        <f>SUM(K1504:K1544)</f>
        <v>2595975000</v>
      </c>
      <c r="L1545" s="295"/>
      <c r="M1545" s="28"/>
      <c r="N1545" s="28"/>
      <c r="O1545" s="28"/>
      <c r="P1545" s="28"/>
      <c r="Q1545" s="28"/>
      <c r="R1545" s="28"/>
      <c r="S1545" s="28"/>
      <c r="T1545" s="28"/>
      <c r="U1545" s="28"/>
      <c r="V1545" s="28"/>
      <c r="W1545" s="28"/>
      <c r="X1545" s="28"/>
      <c r="Y1545" s="82">
        <f>SUM(Y1503:Y1544)/36</f>
        <v>80.752481657836455</v>
      </c>
      <c r="Z1545" s="82">
        <f>SUM(Z1503:Z1544)/36</f>
        <v>78.318226459722169</v>
      </c>
      <c r="AA1545" s="35">
        <f>SUM(AA1503:AA1544)</f>
        <v>2257977288</v>
      </c>
      <c r="AB1545" s="82">
        <f>SUM(AB1503:AB1544)/36</f>
        <v>80.022886456702281</v>
      </c>
      <c r="AC1545" s="35">
        <f>SUM(AC1503:AC1544)</f>
        <v>2257977288</v>
      </c>
      <c r="AD1545" s="82">
        <f>SUM(AD1503:AD1544)/36</f>
        <v>80.022886456702281</v>
      </c>
    </row>
    <row r="1546" spans="2:30" ht="27">
      <c r="B1546" s="66"/>
      <c r="C1546" s="63" t="s">
        <v>801</v>
      </c>
      <c r="D1546" s="64" t="s">
        <v>802</v>
      </c>
      <c r="E1546" s="484"/>
      <c r="F1546" s="484"/>
      <c r="G1546" s="472"/>
      <c r="H1546" s="484"/>
      <c r="I1546" s="472"/>
      <c r="J1546" s="213"/>
      <c r="K1546" s="65"/>
      <c r="L1546" s="66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  <c r="W1546" s="63"/>
      <c r="X1546" s="63"/>
      <c r="Y1546" s="63"/>
      <c r="Z1546" s="63"/>
      <c r="AA1546" s="63"/>
      <c r="AB1546" s="63"/>
      <c r="AC1546" s="63"/>
      <c r="AD1546" s="63"/>
    </row>
    <row r="1547" spans="2:30" ht="27">
      <c r="B1547" s="13"/>
      <c r="C1547" s="86" t="s">
        <v>801</v>
      </c>
      <c r="D1547" s="86" t="s">
        <v>26</v>
      </c>
      <c r="E1547" s="87"/>
      <c r="F1547" s="485"/>
      <c r="G1547" s="441"/>
      <c r="H1547" s="87"/>
      <c r="I1547" s="87"/>
      <c r="J1547" s="209"/>
      <c r="K1547" s="209"/>
      <c r="L1547" s="13"/>
      <c r="M1547" s="17" t="s">
        <v>1</v>
      </c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214"/>
      <c r="Z1547" s="98"/>
      <c r="AA1547" s="215"/>
      <c r="AB1547" s="98"/>
      <c r="AC1547" s="20"/>
      <c r="AD1547" s="98"/>
    </row>
    <row r="1548" spans="2:30">
      <c r="B1548" s="13">
        <f t="shared" si="489"/>
        <v>1</v>
      </c>
      <c r="C1548" s="74" t="s">
        <v>203</v>
      </c>
      <c r="D1548" s="74" t="s">
        <v>28</v>
      </c>
      <c r="E1548" s="89"/>
      <c r="F1548" s="204"/>
      <c r="G1548" s="193"/>
      <c r="H1548" s="89"/>
      <c r="I1548" s="89"/>
      <c r="J1548" s="15">
        <v>362044000</v>
      </c>
      <c r="K1548" s="99">
        <v>763229000</v>
      </c>
      <c r="L1548" s="13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637">
        <v>100</v>
      </c>
      <c r="Z1548" s="98">
        <v>100</v>
      </c>
      <c r="AA1548" s="658">
        <v>539597719</v>
      </c>
      <c r="AB1548" s="98">
        <f>AA1548/K1548*100</f>
        <v>70.699320780525895</v>
      </c>
      <c r="AC1548" s="20">
        <f>AA1548</f>
        <v>539597719</v>
      </c>
      <c r="AD1548" s="98">
        <f>AC1548/K1548*100</f>
        <v>70.699320780525895</v>
      </c>
    </row>
    <row r="1549" spans="2:30">
      <c r="B1549" s="13">
        <f t="shared" si="489"/>
        <v>2</v>
      </c>
      <c r="C1549" s="74" t="s">
        <v>210</v>
      </c>
      <c r="D1549" s="74" t="s">
        <v>30</v>
      </c>
      <c r="E1549" s="89"/>
      <c r="F1549" s="204"/>
      <c r="G1549" s="193"/>
      <c r="H1549" s="89"/>
      <c r="I1549" s="89"/>
      <c r="J1549" s="15">
        <v>110000000</v>
      </c>
      <c r="K1549" s="99">
        <v>132700000</v>
      </c>
      <c r="L1549" s="13"/>
      <c r="M1549" s="17"/>
      <c r="N1549" s="17"/>
      <c r="O1549" s="17"/>
      <c r="P1549" s="17"/>
      <c r="Q1549" s="17"/>
      <c r="R1549" s="17"/>
      <c r="S1549" s="17"/>
      <c r="T1549" s="17"/>
      <c r="U1549" s="17"/>
      <c r="V1549" s="17"/>
      <c r="W1549" s="17"/>
      <c r="X1549" s="17"/>
      <c r="Y1549" s="637">
        <v>100</v>
      </c>
      <c r="Z1549" s="98">
        <v>100</v>
      </c>
      <c r="AA1549" s="658">
        <v>132695825</v>
      </c>
      <c r="AB1549" s="98">
        <f t="shared" ref="AB1549:AB1553" si="493">AA1549/K1549*100</f>
        <v>99.996853805576492</v>
      </c>
      <c r="AC1549" s="20">
        <f t="shared" ref="AC1549:AC1599" si="494">AA1549</f>
        <v>132695825</v>
      </c>
      <c r="AD1549" s="98">
        <f t="shared" ref="AD1549:AD1599" si="495">AC1549/K1549*100</f>
        <v>99.996853805576492</v>
      </c>
    </row>
    <row r="1550" spans="2:30">
      <c r="B1550" s="13">
        <f t="shared" si="489"/>
        <v>3</v>
      </c>
      <c r="C1550" s="74" t="s">
        <v>204</v>
      </c>
      <c r="D1550" s="74" t="s">
        <v>32</v>
      </c>
      <c r="E1550" s="89"/>
      <c r="F1550" s="204"/>
      <c r="G1550" s="193"/>
      <c r="H1550" s="89"/>
      <c r="I1550" s="89"/>
      <c r="J1550" s="15">
        <v>387600000</v>
      </c>
      <c r="K1550" s="99">
        <v>385575000</v>
      </c>
      <c r="L1550" s="57"/>
      <c r="M1550" s="25"/>
      <c r="N1550" s="18"/>
      <c r="O1550" s="17"/>
      <c r="P1550" s="17"/>
      <c r="Q1550" s="17"/>
      <c r="R1550" s="17"/>
      <c r="S1550" s="17"/>
      <c r="T1550" s="17"/>
      <c r="U1550" s="17"/>
      <c r="V1550" s="17"/>
      <c r="W1550" s="17"/>
      <c r="X1550" s="17"/>
      <c r="Y1550" s="637">
        <v>100</v>
      </c>
      <c r="Z1550" s="98">
        <v>100</v>
      </c>
      <c r="AA1550" s="658">
        <v>371074347</v>
      </c>
      <c r="AB1550" s="98">
        <f t="shared" si="493"/>
        <v>96.239213382610387</v>
      </c>
      <c r="AC1550" s="20">
        <f t="shared" si="494"/>
        <v>371074347</v>
      </c>
      <c r="AD1550" s="98">
        <f t="shared" si="495"/>
        <v>96.239213382610387</v>
      </c>
    </row>
    <row r="1551" spans="2:30">
      <c r="B1551" s="13">
        <f t="shared" si="489"/>
        <v>4</v>
      </c>
      <c r="C1551" s="74" t="s">
        <v>205</v>
      </c>
      <c r="D1551" s="74" t="s">
        <v>34</v>
      </c>
      <c r="E1551" s="89"/>
      <c r="F1551" s="204"/>
      <c r="G1551" s="193"/>
      <c r="H1551" s="89"/>
      <c r="I1551" s="89"/>
      <c r="J1551" s="15">
        <v>85000000</v>
      </c>
      <c r="K1551" s="99">
        <v>235990000</v>
      </c>
      <c r="L1551" s="448"/>
      <c r="M1551" s="17"/>
      <c r="N1551" s="17"/>
      <c r="O1551" s="17"/>
      <c r="P1551" s="17"/>
      <c r="Q1551" s="17"/>
      <c r="R1551" s="17"/>
      <c r="S1551" s="17"/>
      <c r="T1551" s="17"/>
      <c r="U1551" s="17"/>
      <c r="V1551" s="17"/>
      <c r="W1551" s="17"/>
      <c r="X1551" s="17"/>
      <c r="Y1551" s="637">
        <v>100</v>
      </c>
      <c r="Z1551" s="98">
        <v>38.090000000000003</v>
      </c>
      <c r="AA1551" s="658">
        <v>89900000</v>
      </c>
      <c r="AB1551" s="98">
        <f t="shared" si="493"/>
        <v>38.094834526886736</v>
      </c>
      <c r="AC1551" s="20">
        <f t="shared" si="494"/>
        <v>89900000</v>
      </c>
      <c r="AD1551" s="98">
        <f t="shared" si="495"/>
        <v>38.094834526886736</v>
      </c>
    </row>
    <row r="1552" spans="2:30">
      <c r="B1552" s="13">
        <f t="shared" si="489"/>
        <v>5</v>
      </c>
      <c r="C1552" s="74" t="s">
        <v>215</v>
      </c>
      <c r="D1552" s="74" t="s">
        <v>36</v>
      </c>
      <c r="E1552" s="89"/>
      <c r="F1552" s="204"/>
      <c r="G1552" s="193"/>
      <c r="H1552" s="89"/>
      <c r="I1552" s="89"/>
      <c r="J1552" s="15">
        <v>20000000</v>
      </c>
      <c r="K1552" s="99">
        <v>17300000</v>
      </c>
      <c r="L1552" s="13"/>
      <c r="M1552" s="17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637">
        <v>100</v>
      </c>
      <c r="Z1552" s="98">
        <v>100</v>
      </c>
      <c r="AA1552" s="658">
        <v>17283400</v>
      </c>
      <c r="AB1552" s="98">
        <f t="shared" si="493"/>
        <v>99.904046242774569</v>
      </c>
      <c r="AC1552" s="20">
        <f t="shared" si="494"/>
        <v>17283400</v>
      </c>
      <c r="AD1552" s="98">
        <f t="shared" si="495"/>
        <v>99.904046242774569</v>
      </c>
    </row>
    <row r="1553" spans="2:30" ht="27">
      <c r="B1553" s="13">
        <f t="shared" si="489"/>
        <v>6</v>
      </c>
      <c r="C1553" s="74" t="s">
        <v>216</v>
      </c>
      <c r="D1553" s="74" t="s">
        <v>360</v>
      </c>
      <c r="E1553" s="89"/>
      <c r="F1553" s="204"/>
      <c r="G1553" s="193"/>
      <c r="H1553" s="89"/>
      <c r="I1553" s="89"/>
      <c r="J1553" s="15">
        <v>9988000</v>
      </c>
      <c r="K1553" s="99">
        <v>9988000</v>
      </c>
      <c r="L1553" s="13"/>
      <c r="M1553" s="17"/>
      <c r="N1553" s="17"/>
      <c r="O1553" s="17"/>
      <c r="P1553" s="17"/>
      <c r="Q1553" s="17"/>
      <c r="R1553" s="17"/>
      <c r="S1553" s="17"/>
      <c r="T1553" s="17"/>
      <c r="U1553" s="17"/>
      <c r="V1553" s="17"/>
      <c r="W1553" s="17"/>
      <c r="X1553" s="17"/>
      <c r="Y1553" s="637">
        <v>100</v>
      </c>
      <c r="Z1553" s="98">
        <v>100</v>
      </c>
      <c r="AA1553" s="658">
        <v>9932500</v>
      </c>
      <c r="AB1553" s="98">
        <f t="shared" si="493"/>
        <v>99.444333199839804</v>
      </c>
      <c r="AC1553" s="20">
        <f t="shared" si="494"/>
        <v>9932500</v>
      </c>
      <c r="AD1553" s="98">
        <f t="shared" si="495"/>
        <v>99.444333199839804</v>
      </c>
    </row>
    <row r="1554" spans="2:30" ht="27">
      <c r="B1554" s="13"/>
      <c r="C1554" s="86" t="s">
        <v>803</v>
      </c>
      <c r="D1554" s="86" t="s">
        <v>804</v>
      </c>
      <c r="E1554" s="87"/>
      <c r="F1554" s="485"/>
      <c r="G1554" s="441"/>
      <c r="H1554" s="87"/>
      <c r="I1554" s="87"/>
      <c r="J1554" s="209"/>
      <c r="K1554" s="209"/>
      <c r="L1554" s="13"/>
      <c r="M1554" s="17"/>
      <c r="N1554" s="17"/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637"/>
      <c r="Z1554" s="98"/>
      <c r="AA1554" s="22"/>
      <c r="AB1554" s="19"/>
      <c r="AC1554" s="20">
        <f t="shared" si="494"/>
        <v>0</v>
      </c>
      <c r="AD1554" s="98"/>
    </row>
    <row r="1555" spans="2:30">
      <c r="B1555" s="13">
        <f>B1553+1</f>
        <v>7</v>
      </c>
      <c r="C1555" s="74" t="s">
        <v>219</v>
      </c>
      <c r="D1555" s="74" t="s">
        <v>805</v>
      </c>
      <c r="E1555" s="89"/>
      <c r="F1555" s="204"/>
      <c r="G1555" s="193"/>
      <c r="H1555" s="89"/>
      <c r="I1555" s="89"/>
      <c r="J1555" s="15">
        <v>32000000</v>
      </c>
      <c r="K1555" s="99">
        <v>32000000</v>
      </c>
      <c r="L1555" s="13"/>
      <c r="M1555" s="17"/>
      <c r="N1555" s="17"/>
      <c r="O1555" s="17"/>
      <c r="P1555" s="17"/>
      <c r="Q1555" s="17"/>
      <c r="R1555" s="17"/>
      <c r="S1555" s="17"/>
      <c r="T1555" s="17"/>
      <c r="U1555" s="17"/>
      <c r="V1555" s="17"/>
      <c r="W1555" s="17"/>
      <c r="X1555" s="17"/>
      <c r="Y1555" s="637">
        <v>100</v>
      </c>
      <c r="Z1555" s="98">
        <v>100</v>
      </c>
      <c r="AA1555" s="215">
        <v>31160000</v>
      </c>
      <c r="AB1555" s="19">
        <f>AA1555/K1555*100</f>
        <v>97.375</v>
      </c>
      <c r="AC1555" s="20">
        <f t="shared" si="494"/>
        <v>31160000</v>
      </c>
      <c r="AD1555" s="98">
        <f t="shared" si="495"/>
        <v>97.375</v>
      </c>
    </row>
    <row r="1556" spans="2:30">
      <c r="B1556" s="13">
        <f t="shared" si="489"/>
        <v>8</v>
      </c>
      <c r="C1556" s="74" t="s">
        <v>221</v>
      </c>
      <c r="D1556" s="74" t="s">
        <v>806</v>
      </c>
      <c r="E1556" s="89"/>
      <c r="F1556" s="204"/>
      <c r="G1556" s="193"/>
      <c r="H1556" s="89"/>
      <c r="I1556" s="89"/>
      <c r="J1556" s="15">
        <v>39200000</v>
      </c>
      <c r="K1556" s="99">
        <v>50000000</v>
      </c>
      <c r="L1556" s="13"/>
      <c r="M1556" s="17"/>
      <c r="N1556" s="17"/>
      <c r="O1556" s="17"/>
      <c r="P1556" s="17"/>
      <c r="Q1556" s="17"/>
      <c r="R1556" s="17"/>
      <c r="S1556" s="17"/>
      <c r="T1556" s="17"/>
      <c r="U1556" s="17"/>
      <c r="V1556" s="17"/>
      <c r="W1556" s="17"/>
      <c r="X1556" s="17"/>
      <c r="Y1556" s="637">
        <v>100</v>
      </c>
      <c r="Z1556" s="98">
        <f t="shared" ref="Z1556:Z1596" si="496">AD1556</f>
        <v>100</v>
      </c>
      <c r="AA1556" s="216">
        <v>50000000</v>
      </c>
      <c r="AB1556" s="19">
        <f t="shared" ref="AB1556:AB1560" si="497">AA1556/K1556*100</f>
        <v>100</v>
      </c>
      <c r="AC1556" s="20">
        <f t="shared" si="494"/>
        <v>50000000</v>
      </c>
      <c r="AD1556" s="98">
        <f t="shared" si="495"/>
        <v>100</v>
      </c>
    </row>
    <row r="1557" spans="2:30">
      <c r="B1557" s="13">
        <f t="shared" si="489"/>
        <v>9</v>
      </c>
      <c r="C1557" s="74" t="s">
        <v>600</v>
      </c>
      <c r="D1557" s="74" t="s">
        <v>807</v>
      </c>
      <c r="E1557" s="89"/>
      <c r="F1557" s="204"/>
      <c r="G1557" s="193"/>
      <c r="H1557" s="89"/>
      <c r="I1557" s="89"/>
      <c r="J1557" s="15">
        <v>25000000</v>
      </c>
      <c r="K1557" s="99">
        <v>60000000</v>
      </c>
      <c r="L1557" s="13"/>
      <c r="M1557" s="17"/>
      <c r="N1557" s="17"/>
      <c r="O1557" s="17"/>
      <c r="P1557" s="17"/>
      <c r="Q1557" s="17"/>
      <c r="R1557" s="17"/>
      <c r="S1557" s="17"/>
      <c r="T1557" s="17"/>
      <c r="U1557" s="17"/>
      <c r="V1557" s="17"/>
      <c r="W1557" s="17"/>
      <c r="X1557" s="17"/>
      <c r="Y1557" s="637">
        <v>100</v>
      </c>
      <c r="Z1557" s="98">
        <v>100</v>
      </c>
      <c r="AA1557" s="215">
        <v>59985000</v>
      </c>
      <c r="AB1557" s="19">
        <f t="shared" si="497"/>
        <v>99.975000000000009</v>
      </c>
      <c r="AC1557" s="20">
        <f t="shared" si="494"/>
        <v>59985000</v>
      </c>
      <c r="AD1557" s="98">
        <f t="shared" si="495"/>
        <v>99.975000000000009</v>
      </c>
    </row>
    <row r="1558" spans="2:30">
      <c r="B1558" s="13">
        <f t="shared" si="489"/>
        <v>10</v>
      </c>
      <c r="C1558" s="74" t="s">
        <v>564</v>
      </c>
      <c r="D1558" s="74" t="s">
        <v>808</v>
      </c>
      <c r="E1558" s="89"/>
      <c r="F1558" s="204"/>
      <c r="G1558" s="193"/>
      <c r="H1558" s="89"/>
      <c r="I1558" s="89"/>
      <c r="J1558" s="15">
        <v>50000000</v>
      </c>
      <c r="K1558" s="99">
        <v>50000000</v>
      </c>
      <c r="L1558" s="13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637">
        <v>100</v>
      </c>
      <c r="Z1558" s="98">
        <v>100</v>
      </c>
      <c r="AA1558" s="215">
        <v>49504500</v>
      </c>
      <c r="AB1558" s="19">
        <f t="shared" si="497"/>
        <v>99.009</v>
      </c>
      <c r="AC1558" s="20">
        <f t="shared" si="494"/>
        <v>49504500</v>
      </c>
      <c r="AD1558" s="98">
        <f t="shared" si="495"/>
        <v>99.009</v>
      </c>
    </row>
    <row r="1559" spans="2:30">
      <c r="B1559" s="13">
        <f t="shared" si="489"/>
        <v>11</v>
      </c>
      <c r="C1559" s="74" t="s">
        <v>644</v>
      </c>
      <c r="D1559" s="74" t="s">
        <v>809</v>
      </c>
      <c r="E1559" s="89"/>
      <c r="F1559" s="204"/>
      <c r="G1559" s="193"/>
      <c r="H1559" s="89"/>
      <c r="I1559" s="89"/>
      <c r="J1559" s="15">
        <v>20000000</v>
      </c>
      <c r="K1559" s="99">
        <v>20000000</v>
      </c>
      <c r="L1559" s="13"/>
      <c r="M1559" s="17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637">
        <v>100</v>
      </c>
      <c r="Z1559" s="98">
        <v>100</v>
      </c>
      <c r="AA1559" s="215">
        <v>19986800</v>
      </c>
      <c r="AB1559" s="19">
        <f t="shared" si="497"/>
        <v>99.933999999999997</v>
      </c>
      <c r="AC1559" s="20">
        <f t="shared" si="494"/>
        <v>19986800</v>
      </c>
      <c r="AD1559" s="98">
        <f t="shared" si="495"/>
        <v>99.933999999999997</v>
      </c>
    </row>
    <row r="1560" spans="2:30">
      <c r="B1560" s="13">
        <f t="shared" si="489"/>
        <v>12</v>
      </c>
      <c r="C1560" s="74" t="s">
        <v>664</v>
      </c>
      <c r="D1560" s="74" t="s">
        <v>810</v>
      </c>
      <c r="E1560" s="89"/>
      <c r="F1560" s="204"/>
      <c r="G1560" s="193"/>
      <c r="H1560" s="89"/>
      <c r="I1560" s="89"/>
      <c r="J1560" s="15">
        <v>19415000</v>
      </c>
      <c r="K1560" s="99">
        <v>19415000</v>
      </c>
      <c r="L1560" s="13"/>
      <c r="M1560" s="17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/>
      <c r="X1560" s="17"/>
      <c r="Y1560" s="637">
        <v>100</v>
      </c>
      <c r="Z1560" s="98">
        <v>100</v>
      </c>
      <c r="AA1560" s="215">
        <v>19415000</v>
      </c>
      <c r="AB1560" s="19">
        <f t="shared" si="497"/>
        <v>100</v>
      </c>
      <c r="AC1560" s="20">
        <f t="shared" si="494"/>
        <v>19415000</v>
      </c>
      <c r="AD1560" s="98">
        <f t="shared" si="495"/>
        <v>100</v>
      </c>
    </row>
    <row r="1561" spans="2:30" ht="27">
      <c r="B1561" s="13"/>
      <c r="C1561" s="86" t="s">
        <v>811</v>
      </c>
      <c r="D1561" s="86" t="s">
        <v>812</v>
      </c>
      <c r="E1561" s="87"/>
      <c r="F1561" s="485"/>
      <c r="G1561" s="441"/>
      <c r="H1561" s="87"/>
      <c r="I1561" s="87"/>
      <c r="J1561" s="209"/>
      <c r="K1561" s="209"/>
      <c r="L1561" s="13"/>
      <c r="M1561" s="17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637"/>
      <c r="Z1561" s="98"/>
      <c r="AA1561" s="215">
        <v>0</v>
      </c>
      <c r="AB1561" s="19"/>
      <c r="AC1561" s="20">
        <f t="shared" si="494"/>
        <v>0</v>
      </c>
      <c r="AD1561" s="98"/>
    </row>
    <row r="1562" spans="2:30" ht="27">
      <c r="B1562" s="13">
        <f>B1560+1</f>
        <v>13</v>
      </c>
      <c r="C1562" s="74" t="s">
        <v>238</v>
      </c>
      <c r="D1562" s="74" t="s">
        <v>813</v>
      </c>
      <c r="E1562" s="89"/>
      <c r="F1562" s="204"/>
      <c r="G1562" s="193"/>
      <c r="H1562" s="89"/>
      <c r="I1562" s="89"/>
      <c r="J1562" s="15">
        <v>35000000</v>
      </c>
      <c r="K1562" s="99">
        <v>35000000</v>
      </c>
      <c r="L1562" s="13"/>
      <c r="M1562" s="17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637">
        <v>100</v>
      </c>
      <c r="Z1562" s="98">
        <v>100</v>
      </c>
      <c r="AA1562" s="215">
        <v>31417000</v>
      </c>
      <c r="AB1562" s="19">
        <f>AA1562/K1562*100</f>
        <v>89.762857142857143</v>
      </c>
      <c r="AC1562" s="20">
        <f t="shared" si="494"/>
        <v>31417000</v>
      </c>
      <c r="AD1562" s="98">
        <f t="shared" si="495"/>
        <v>89.762857142857143</v>
      </c>
    </row>
    <row r="1563" spans="2:30" ht="27">
      <c r="B1563" s="13">
        <f t="shared" ref="B1563:B1613" si="498">B1562+1</f>
        <v>14</v>
      </c>
      <c r="C1563" s="74" t="s">
        <v>240</v>
      </c>
      <c r="D1563" s="74" t="s">
        <v>814</v>
      </c>
      <c r="E1563" s="89"/>
      <c r="F1563" s="204"/>
      <c r="G1563" s="193"/>
      <c r="H1563" s="89"/>
      <c r="I1563" s="89"/>
      <c r="J1563" s="15">
        <v>20000000</v>
      </c>
      <c r="K1563" s="99">
        <v>20000000</v>
      </c>
      <c r="L1563" s="13"/>
      <c r="M1563" s="17"/>
      <c r="N1563" s="17"/>
      <c r="O1563" s="17"/>
      <c r="P1563" s="17"/>
      <c r="Q1563" s="17"/>
      <c r="R1563" s="17"/>
      <c r="S1563" s="17"/>
      <c r="T1563" s="17"/>
      <c r="U1563" s="17"/>
      <c r="V1563" s="17"/>
      <c r="W1563" s="17"/>
      <c r="X1563" s="17"/>
      <c r="Y1563" s="637">
        <v>100</v>
      </c>
      <c r="Z1563" s="98">
        <v>100</v>
      </c>
      <c r="AA1563" s="215">
        <v>14512750</v>
      </c>
      <c r="AB1563" s="19">
        <f t="shared" ref="AB1563:AB1599" si="499">AA1563/K1563*100</f>
        <v>72.563749999999999</v>
      </c>
      <c r="AC1563" s="20">
        <f t="shared" si="494"/>
        <v>14512750</v>
      </c>
      <c r="AD1563" s="98">
        <f t="shared" si="495"/>
        <v>72.563749999999999</v>
      </c>
    </row>
    <row r="1564" spans="2:30" ht="27">
      <c r="B1564" s="13">
        <f t="shared" si="498"/>
        <v>15</v>
      </c>
      <c r="C1564" s="74" t="s">
        <v>736</v>
      </c>
      <c r="D1564" s="74" t="s">
        <v>815</v>
      </c>
      <c r="E1564" s="89"/>
      <c r="F1564" s="204"/>
      <c r="G1564" s="193"/>
      <c r="H1564" s="89"/>
      <c r="I1564" s="89"/>
      <c r="J1564" s="15">
        <v>75000000</v>
      </c>
      <c r="K1564" s="99">
        <v>75000000</v>
      </c>
      <c r="L1564" s="13"/>
      <c r="M1564" s="17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637">
        <v>100</v>
      </c>
      <c r="Z1564" s="98">
        <v>100</v>
      </c>
      <c r="AA1564" s="215">
        <v>72631000</v>
      </c>
      <c r="AB1564" s="19">
        <f t="shared" si="499"/>
        <v>96.841333333333338</v>
      </c>
      <c r="AC1564" s="20">
        <f t="shared" si="494"/>
        <v>72631000</v>
      </c>
      <c r="AD1564" s="98">
        <f t="shared" si="495"/>
        <v>96.841333333333338</v>
      </c>
    </row>
    <row r="1565" spans="2:30">
      <c r="B1565" s="13">
        <f>B1564+1</f>
        <v>16</v>
      </c>
      <c r="C1565" s="74" t="s">
        <v>242</v>
      </c>
      <c r="D1565" s="74" t="s">
        <v>816</v>
      </c>
      <c r="E1565" s="89"/>
      <c r="F1565" s="204"/>
      <c r="G1565" s="193"/>
      <c r="H1565" s="89"/>
      <c r="I1565" s="89"/>
      <c r="J1565" s="15">
        <v>35000000</v>
      </c>
      <c r="K1565" s="99">
        <v>35000000</v>
      </c>
      <c r="L1565" s="13"/>
      <c r="M1565" s="17"/>
      <c r="N1565" s="17"/>
      <c r="O1565" s="17"/>
      <c r="P1565" s="17"/>
      <c r="Q1565" s="17"/>
      <c r="R1565" s="17"/>
      <c r="S1565" s="17"/>
      <c r="T1565" s="17"/>
      <c r="U1565" s="17"/>
      <c r="V1565" s="17"/>
      <c r="W1565" s="17"/>
      <c r="X1565" s="17"/>
      <c r="Y1565" s="637">
        <v>100</v>
      </c>
      <c r="Z1565" s="98">
        <v>100</v>
      </c>
      <c r="AA1565" s="215">
        <v>19531500</v>
      </c>
      <c r="AB1565" s="19">
        <f t="shared" si="499"/>
        <v>55.804285714285719</v>
      </c>
      <c r="AC1565" s="20">
        <f t="shared" si="494"/>
        <v>19531500</v>
      </c>
      <c r="AD1565" s="98">
        <f t="shared" si="495"/>
        <v>55.804285714285719</v>
      </c>
    </row>
    <row r="1566" spans="2:30">
      <c r="B1566" s="13">
        <f t="shared" si="498"/>
        <v>17</v>
      </c>
      <c r="C1566" s="74" t="s">
        <v>244</v>
      </c>
      <c r="D1566" s="74" t="s">
        <v>817</v>
      </c>
      <c r="E1566" s="89"/>
      <c r="F1566" s="204"/>
      <c r="G1566" s="193"/>
      <c r="H1566" s="89"/>
      <c r="I1566" s="89"/>
      <c r="J1566" s="15">
        <v>100000000</v>
      </c>
      <c r="K1566" s="99">
        <v>205000000</v>
      </c>
      <c r="L1566" s="13"/>
      <c r="M1566" s="17"/>
      <c r="N1566" s="17"/>
      <c r="O1566" s="17"/>
      <c r="P1566" s="17"/>
      <c r="Q1566" s="17"/>
      <c r="R1566" s="17"/>
      <c r="S1566" s="17"/>
      <c r="T1566" s="17"/>
      <c r="U1566" s="17"/>
      <c r="V1566" s="17"/>
      <c r="W1566" s="17"/>
      <c r="X1566" s="17"/>
      <c r="Y1566" s="637">
        <v>100</v>
      </c>
      <c r="Z1566" s="98">
        <v>100</v>
      </c>
      <c r="AA1566" s="22">
        <v>183934855</v>
      </c>
      <c r="AB1566" s="19">
        <f t="shared" si="499"/>
        <v>89.724319512195123</v>
      </c>
      <c r="AC1566" s="20">
        <f t="shared" si="494"/>
        <v>183934855</v>
      </c>
      <c r="AD1566" s="98">
        <f t="shared" si="495"/>
        <v>89.724319512195123</v>
      </c>
    </row>
    <row r="1567" spans="2:30">
      <c r="B1567" s="13">
        <f>B1566+1</f>
        <v>18</v>
      </c>
      <c r="C1567" s="74" t="s">
        <v>818</v>
      </c>
      <c r="D1567" s="74" t="s">
        <v>819</v>
      </c>
      <c r="E1567" s="89"/>
      <c r="F1567" s="204"/>
      <c r="G1567" s="193"/>
      <c r="H1567" s="89"/>
      <c r="I1567" s="89"/>
      <c r="J1567" s="15">
        <v>59880000</v>
      </c>
      <c r="K1567" s="99">
        <v>9880000</v>
      </c>
      <c r="L1567" s="13"/>
      <c r="M1567" s="17"/>
      <c r="N1567" s="17"/>
      <c r="O1567" s="17"/>
      <c r="P1567" s="17"/>
      <c r="Q1567" s="17"/>
      <c r="R1567" s="17"/>
      <c r="S1567" s="17"/>
      <c r="T1567" s="17"/>
      <c r="U1567" s="17"/>
      <c r="V1567" s="17"/>
      <c r="W1567" s="17"/>
      <c r="X1567" s="17"/>
      <c r="Y1567" s="637">
        <v>100</v>
      </c>
      <c r="Z1567" s="98">
        <v>100</v>
      </c>
      <c r="AA1567" s="215">
        <v>6723500</v>
      </c>
      <c r="AB1567" s="19">
        <f t="shared" si="499"/>
        <v>68.051619433198383</v>
      </c>
      <c r="AC1567" s="20">
        <f t="shared" si="494"/>
        <v>6723500</v>
      </c>
      <c r="AD1567" s="98">
        <f t="shared" si="495"/>
        <v>68.051619433198383</v>
      </c>
    </row>
    <row r="1568" spans="2:30">
      <c r="B1568" s="13">
        <f>B1567+1</f>
        <v>19</v>
      </c>
      <c r="C1568" s="58" t="s">
        <v>820</v>
      </c>
      <c r="D1568" s="58" t="s">
        <v>821</v>
      </c>
      <c r="E1568" s="89"/>
      <c r="F1568" s="204"/>
      <c r="G1568" s="193"/>
      <c r="H1568" s="89"/>
      <c r="I1568" s="89"/>
      <c r="J1568" s="15">
        <v>15000000</v>
      </c>
      <c r="K1568" s="99">
        <v>35700000</v>
      </c>
      <c r="L1568" s="13"/>
      <c r="M1568" s="17"/>
      <c r="N1568" s="17"/>
      <c r="O1568" s="17"/>
      <c r="P1568" s="17"/>
      <c r="Q1568" s="17"/>
      <c r="R1568" s="17"/>
      <c r="S1568" s="17"/>
      <c r="T1568" s="17"/>
      <c r="U1568" s="17"/>
      <c r="V1568" s="17"/>
      <c r="W1568" s="17"/>
      <c r="X1568" s="17"/>
      <c r="Y1568" s="637">
        <v>100</v>
      </c>
      <c r="Z1568" s="98">
        <v>100</v>
      </c>
      <c r="AA1568" s="215">
        <v>27723000</v>
      </c>
      <c r="AB1568" s="19">
        <f t="shared" si="499"/>
        <v>77.65546218487394</v>
      </c>
      <c r="AC1568" s="20">
        <f t="shared" si="494"/>
        <v>27723000</v>
      </c>
      <c r="AD1568" s="98">
        <f t="shared" si="495"/>
        <v>77.65546218487394</v>
      </c>
    </row>
    <row r="1569" spans="1:30" ht="14.25" customHeight="1">
      <c r="B1569" s="13">
        <f>B1568+1</f>
        <v>20</v>
      </c>
      <c r="C1569" s="58" t="s">
        <v>822</v>
      </c>
      <c r="D1569" s="21" t="s">
        <v>823</v>
      </c>
      <c r="E1569" s="89"/>
      <c r="F1569" s="204"/>
      <c r="G1569" s="193"/>
      <c r="H1569" s="89"/>
      <c r="I1569" s="89"/>
      <c r="J1569" s="15">
        <v>20000000</v>
      </c>
      <c r="K1569" s="99">
        <v>20000000</v>
      </c>
      <c r="L1569" s="13"/>
      <c r="M1569" s="17"/>
      <c r="N1569" s="17"/>
      <c r="O1569" s="17"/>
      <c r="P1569" s="17"/>
      <c r="Q1569" s="17"/>
      <c r="R1569" s="17"/>
      <c r="S1569" s="17"/>
      <c r="T1569" s="17"/>
      <c r="U1569" s="17"/>
      <c r="V1569" s="17"/>
      <c r="W1569" s="17"/>
      <c r="X1569" s="17"/>
      <c r="Y1569" s="637">
        <v>100</v>
      </c>
      <c r="Z1569" s="98">
        <v>100</v>
      </c>
      <c r="AA1569" s="215">
        <v>14903500</v>
      </c>
      <c r="AB1569" s="19">
        <f t="shared" si="499"/>
        <v>74.517499999999998</v>
      </c>
      <c r="AC1569" s="20">
        <f t="shared" si="494"/>
        <v>14903500</v>
      </c>
      <c r="AD1569" s="98">
        <f t="shared" si="495"/>
        <v>74.517499999999998</v>
      </c>
    </row>
    <row r="1570" spans="1:30" ht="25.5">
      <c r="B1570" s="13">
        <f>B1569+1</f>
        <v>21</v>
      </c>
      <c r="C1570" s="58" t="s">
        <v>824</v>
      </c>
      <c r="D1570" s="21" t="s">
        <v>825</v>
      </c>
      <c r="E1570" s="89"/>
      <c r="F1570" s="204"/>
      <c r="G1570" s="193"/>
      <c r="H1570" s="89"/>
      <c r="I1570" s="89"/>
      <c r="J1570" s="15">
        <v>254922000</v>
      </c>
      <c r="K1570" s="99">
        <v>284922000</v>
      </c>
      <c r="L1570" s="13"/>
      <c r="M1570" s="17"/>
      <c r="N1570" s="17"/>
      <c r="O1570" s="17"/>
      <c r="P1570" s="17"/>
      <c r="Q1570" s="17"/>
      <c r="R1570" s="17"/>
      <c r="S1570" s="17"/>
      <c r="T1570" s="17"/>
      <c r="U1570" s="17"/>
      <c r="V1570" s="17"/>
      <c r="W1570" s="17"/>
      <c r="X1570" s="17"/>
      <c r="Y1570" s="637">
        <v>100</v>
      </c>
      <c r="Z1570" s="98">
        <v>100</v>
      </c>
      <c r="AA1570" s="215">
        <v>233982100</v>
      </c>
      <c r="AB1570" s="19">
        <f t="shared" si="499"/>
        <v>82.121457802486304</v>
      </c>
      <c r="AC1570" s="20">
        <f t="shared" si="494"/>
        <v>233982100</v>
      </c>
      <c r="AD1570" s="98">
        <f t="shared" si="495"/>
        <v>82.121457802486304</v>
      </c>
    </row>
    <row r="1571" spans="1:30" ht="25.5">
      <c r="B1571" s="13">
        <f>B1570+1</f>
        <v>22</v>
      </c>
      <c r="C1571" s="58" t="s">
        <v>826</v>
      </c>
      <c r="D1571" s="21" t="s">
        <v>827</v>
      </c>
      <c r="E1571" s="89"/>
      <c r="F1571" s="204"/>
      <c r="G1571" s="193"/>
      <c r="H1571" s="89"/>
      <c r="I1571" s="89"/>
      <c r="J1571" s="15">
        <v>100000000</v>
      </c>
      <c r="K1571" s="99">
        <v>100000000</v>
      </c>
      <c r="L1571" s="13"/>
      <c r="M1571" s="17"/>
      <c r="N1571" s="17"/>
      <c r="O1571" s="17"/>
      <c r="P1571" s="17"/>
      <c r="Q1571" s="17"/>
      <c r="R1571" s="17"/>
      <c r="S1571" s="17"/>
      <c r="T1571" s="17"/>
      <c r="U1571" s="17"/>
      <c r="V1571" s="17"/>
      <c r="W1571" s="17"/>
      <c r="X1571" s="17"/>
      <c r="Y1571" s="637">
        <v>100</v>
      </c>
      <c r="Z1571" s="98">
        <v>100</v>
      </c>
      <c r="AA1571" s="215">
        <v>67240000</v>
      </c>
      <c r="AB1571" s="19">
        <f t="shared" si="499"/>
        <v>67.239999999999995</v>
      </c>
      <c r="AC1571" s="20">
        <f t="shared" si="494"/>
        <v>67240000</v>
      </c>
      <c r="AD1571" s="98">
        <f t="shared" si="495"/>
        <v>67.239999999999995</v>
      </c>
    </row>
    <row r="1572" spans="1:30" ht="27">
      <c r="B1572" s="13"/>
      <c r="C1572" s="86" t="s">
        <v>828</v>
      </c>
      <c r="D1572" s="86" t="s">
        <v>829</v>
      </c>
      <c r="E1572" s="87"/>
      <c r="F1572" s="485"/>
      <c r="G1572" s="441"/>
      <c r="H1572" s="87"/>
      <c r="I1572" s="87"/>
      <c r="J1572" s="209"/>
      <c r="K1572" s="209"/>
      <c r="L1572" s="13"/>
      <c r="M1572" s="17"/>
      <c r="N1572" s="17"/>
      <c r="O1572" s="17"/>
      <c r="P1572" s="17"/>
      <c r="Q1572" s="17"/>
      <c r="R1572" s="17"/>
      <c r="S1572" s="17"/>
      <c r="T1572" s="17"/>
      <c r="U1572" s="17"/>
      <c r="V1572" s="17"/>
      <c r="W1572" s="17"/>
      <c r="X1572" s="17"/>
      <c r="Y1572" s="637">
        <f t="shared" ref="Y1572:Y1596" si="500">AB1572</f>
        <v>0</v>
      </c>
      <c r="Z1572" s="98">
        <f t="shared" si="496"/>
        <v>0</v>
      </c>
      <c r="AA1572" s="215"/>
      <c r="AB1572" s="19"/>
      <c r="AC1572" s="20"/>
      <c r="AD1572" s="98"/>
    </row>
    <row r="1573" spans="1:30">
      <c r="B1573" s="13">
        <f>B1571+1</f>
        <v>23</v>
      </c>
      <c r="C1573" s="74" t="s">
        <v>277</v>
      </c>
      <c r="D1573" s="74" t="s">
        <v>830</v>
      </c>
      <c r="E1573" s="89"/>
      <c r="F1573" s="204"/>
      <c r="G1573" s="193"/>
      <c r="H1573" s="89"/>
      <c r="I1573" s="89"/>
      <c r="J1573" s="15">
        <v>19542000</v>
      </c>
      <c r="K1573" s="99">
        <v>19542000</v>
      </c>
      <c r="L1573" s="13"/>
      <c r="M1573" s="17"/>
      <c r="N1573" s="17"/>
      <c r="O1573" s="17"/>
      <c r="P1573" s="17"/>
      <c r="Q1573" s="17"/>
      <c r="R1573" s="17"/>
      <c r="S1573" s="17"/>
      <c r="T1573" s="17"/>
      <c r="U1573" s="17"/>
      <c r="V1573" s="17"/>
      <c r="W1573" s="17"/>
      <c r="X1573" s="17"/>
      <c r="Y1573" s="637">
        <v>100</v>
      </c>
      <c r="Z1573" s="98">
        <v>100</v>
      </c>
      <c r="AA1573" s="215">
        <v>19162000</v>
      </c>
      <c r="AB1573" s="19">
        <f t="shared" si="499"/>
        <v>98.055470269163848</v>
      </c>
      <c r="AC1573" s="20">
        <f t="shared" si="494"/>
        <v>19162000</v>
      </c>
      <c r="AD1573" s="98">
        <f t="shared" si="495"/>
        <v>98.055470269163848</v>
      </c>
    </row>
    <row r="1574" spans="1:30" ht="16.5">
      <c r="B1574" s="13"/>
      <c r="C1574" s="86" t="s">
        <v>831</v>
      </c>
      <c r="D1574" s="86" t="s">
        <v>832</v>
      </c>
      <c r="E1574" s="87"/>
      <c r="F1574" s="485"/>
      <c r="G1574" s="441"/>
      <c r="H1574" s="87"/>
      <c r="I1574" s="87"/>
      <c r="J1574" s="209"/>
      <c r="K1574" s="209"/>
      <c r="L1574" s="57"/>
      <c r="M1574" s="25"/>
      <c r="N1574" s="18"/>
      <c r="O1574" s="401"/>
      <c r="P1574" s="401"/>
      <c r="Q1574" s="17"/>
      <c r="R1574" s="17"/>
      <c r="S1574" s="17"/>
      <c r="T1574" s="17"/>
      <c r="U1574" s="17"/>
      <c r="V1574" s="17"/>
      <c r="W1574" s="17"/>
      <c r="X1574" s="17"/>
      <c r="Y1574" s="637">
        <f t="shared" si="500"/>
        <v>0</v>
      </c>
      <c r="Z1574" s="98">
        <f t="shared" si="496"/>
        <v>0</v>
      </c>
      <c r="AA1574" s="215">
        <v>0</v>
      </c>
      <c r="AB1574" s="19"/>
      <c r="AC1574" s="20"/>
      <c r="AD1574" s="98"/>
    </row>
    <row r="1575" spans="1:30">
      <c r="B1575" s="13">
        <f>B1573+1</f>
        <v>24</v>
      </c>
      <c r="C1575" s="74" t="s">
        <v>219</v>
      </c>
      <c r="D1575" s="21" t="s">
        <v>833</v>
      </c>
      <c r="E1575" s="89"/>
      <c r="F1575" s="204"/>
      <c r="G1575" s="193"/>
      <c r="H1575" s="89"/>
      <c r="I1575" s="89"/>
      <c r="J1575" s="15">
        <v>30000000</v>
      </c>
      <c r="K1575" s="99">
        <v>30000000</v>
      </c>
      <c r="L1575" s="13"/>
      <c r="M1575" s="17"/>
      <c r="N1575" s="17"/>
      <c r="O1575" s="17"/>
      <c r="P1575" s="17"/>
      <c r="Q1575" s="17"/>
      <c r="R1575" s="17"/>
      <c r="S1575" s="17"/>
      <c r="T1575" s="17"/>
      <c r="U1575" s="17"/>
      <c r="V1575" s="17"/>
      <c r="W1575" s="17"/>
      <c r="X1575" s="17"/>
      <c r="Y1575" s="637">
        <v>100</v>
      </c>
      <c r="Z1575" s="98">
        <v>100</v>
      </c>
      <c r="AA1575" s="215">
        <v>29969000</v>
      </c>
      <c r="AB1575" s="19">
        <f t="shared" si="499"/>
        <v>99.896666666666661</v>
      </c>
      <c r="AC1575" s="20">
        <f t="shared" si="494"/>
        <v>29969000</v>
      </c>
      <c r="AD1575" s="98">
        <f t="shared" si="495"/>
        <v>99.896666666666661</v>
      </c>
    </row>
    <row r="1576" spans="1:30" ht="25.5">
      <c r="A1576" s="13"/>
      <c r="B1576" s="13">
        <f t="shared" si="498"/>
        <v>25</v>
      </c>
      <c r="C1576" s="74" t="s">
        <v>221</v>
      </c>
      <c r="D1576" s="21" t="s">
        <v>834</v>
      </c>
      <c r="E1576" s="89"/>
      <c r="F1576" s="204"/>
      <c r="G1576" s="193"/>
      <c r="H1576" s="89"/>
      <c r="I1576" s="89"/>
      <c r="J1576" s="15">
        <v>9900000</v>
      </c>
      <c r="K1576" s="99">
        <v>9900000</v>
      </c>
      <c r="L1576" s="13"/>
      <c r="M1576" s="17"/>
      <c r="N1576" s="17"/>
      <c r="O1576" s="17"/>
      <c r="P1576" s="17"/>
      <c r="Q1576" s="17"/>
      <c r="R1576" s="17"/>
      <c r="S1576" s="17"/>
      <c r="T1576" s="17"/>
      <c r="U1576" s="17"/>
      <c r="V1576" s="17"/>
      <c r="W1576" s="17"/>
      <c r="X1576" s="17"/>
      <c r="Y1576" s="637">
        <v>100</v>
      </c>
      <c r="Z1576" s="98">
        <v>100</v>
      </c>
      <c r="AA1576" s="22">
        <v>9871500</v>
      </c>
      <c r="AB1576" s="19">
        <f t="shared" si="499"/>
        <v>99.712121212121204</v>
      </c>
      <c r="AC1576" s="20">
        <f t="shared" si="494"/>
        <v>9871500</v>
      </c>
      <c r="AD1576" s="98">
        <f t="shared" si="495"/>
        <v>99.712121212121204</v>
      </c>
    </row>
    <row r="1577" spans="1:30">
      <c r="B1577" s="13">
        <f t="shared" si="498"/>
        <v>26</v>
      </c>
      <c r="C1577" s="74" t="s">
        <v>600</v>
      </c>
      <c r="D1577" s="21" t="s">
        <v>835</v>
      </c>
      <c r="E1577" s="89"/>
      <c r="F1577" s="204"/>
      <c r="G1577" s="193"/>
      <c r="H1577" s="89"/>
      <c r="I1577" s="89"/>
      <c r="J1577" s="15">
        <v>1825533000</v>
      </c>
      <c r="K1577" s="99">
        <v>1825533000</v>
      </c>
      <c r="L1577" s="13"/>
      <c r="M1577" s="17"/>
      <c r="N1577" s="17"/>
      <c r="O1577" s="17"/>
      <c r="P1577" s="17"/>
      <c r="Q1577" s="17"/>
      <c r="R1577" s="17"/>
      <c r="S1577" s="17"/>
      <c r="T1577" s="17"/>
      <c r="U1577" s="17"/>
      <c r="V1577" s="17"/>
      <c r="W1577" s="17"/>
      <c r="X1577" s="17"/>
      <c r="Y1577" s="637">
        <v>100</v>
      </c>
      <c r="Z1577" s="98">
        <v>100</v>
      </c>
      <c r="AA1577" s="22">
        <v>1434351000</v>
      </c>
      <c r="AB1577" s="19">
        <f t="shared" si="499"/>
        <v>78.571628121759503</v>
      </c>
      <c r="AC1577" s="20">
        <f t="shared" si="494"/>
        <v>1434351000</v>
      </c>
      <c r="AD1577" s="98">
        <f t="shared" si="495"/>
        <v>78.571628121759503</v>
      </c>
    </row>
    <row r="1578" spans="1:30">
      <c r="B1578" s="13">
        <f t="shared" si="498"/>
        <v>27</v>
      </c>
      <c r="C1578" s="74" t="s">
        <v>644</v>
      </c>
      <c r="D1578" s="21" t="s">
        <v>836</v>
      </c>
      <c r="E1578" s="89"/>
      <c r="F1578" s="204"/>
      <c r="G1578" s="193"/>
      <c r="H1578" s="89"/>
      <c r="I1578" s="89"/>
      <c r="J1578" s="15">
        <v>10000000</v>
      </c>
      <c r="K1578" s="99">
        <v>10000000</v>
      </c>
      <c r="L1578" s="13"/>
      <c r="M1578" s="17"/>
      <c r="N1578" s="17"/>
      <c r="O1578" s="17"/>
      <c r="P1578" s="17"/>
      <c r="Q1578" s="17"/>
      <c r="R1578" s="17"/>
      <c r="S1578" s="17"/>
      <c r="T1578" s="17"/>
      <c r="U1578" s="17"/>
      <c r="V1578" s="17"/>
      <c r="W1578" s="17"/>
      <c r="X1578" s="17"/>
      <c r="Y1578" s="637">
        <v>100</v>
      </c>
      <c r="Z1578" s="98">
        <v>100</v>
      </c>
      <c r="AA1578" s="215">
        <v>9996000</v>
      </c>
      <c r="AB1578" s="19">
        <f t="shared" si="499"/>
        <v>99.960000000000008</v>
      </c>
      <c r="AC1578" s="20">
        <f t="shared" si="494"/>
        <v>9996000</v>
      </c>
      <c r="AD1578" s="98">
        <f t="shared" si="495"/>
        <v>99.960000000000008</v>
      </c>
    </row>
    <row r="1579" spans="1:30">
      <c r="B1579" s="13">
        <f t="shared" si="498"/>
        <v>28</v>
      </c>
      <c r="C1579" s="74" t="s">
        <v>664</v>
      </c>
      <c r="D1579" s="21" t="s">
        <v>837</v>
      </c>
      <c r="E1579" s="89"/>
      <c r="F1579" s="204"/>
      <c r="G1579" s="193"/>
      <c r="H1579" s="89"/>
      <c r="I1579" s="89"/>
      <c r="J1579" s="15">
        <v>280000000</v>
      </c>
      <c r="K1579" s="99">
        <v>360700000</v>
      </c>
      <c r="L1579" s="57"/>
      <c r="M1579" s="25"/>
      <c r="N1579" s="49"/>
      <c r="O1579" s="401"/>
      <c r="P1579" s="401"/>
      <c r="Q1579" s="17"/>
      <c r="R1579" s="17"/>
      <c r="S1579" s="17"/>
      <c r="T1579" s="17"/>
      <c r="U1579" s="17"/>
      <c r="V1579" s="17"/>
      <c r="W1579" s="17"/>
      <c r="X1579" s="17"/>
      <c r="Y1579" s="637">
        <v>100</v>
      </c>
      <c r="Z1579" s="98">
        <v>100</v>
      </c>
      <c r="AA1579" s="215">
        <v>351473357</v>
      </c>
      <c r="AB1579" s="19">
        <f t="shared" si="499"/>
        <v>97.442017466038251</v>
      </c>
      <c r="AC1579" s="20">
        <f t="shared" si="494"/>
        <v>351473357</v>
      </c>
      <c r="AD1579" s="98">
        <f t="shared" si="495"/>
        <v>97.442017466038251</v>
      </c>
    </row>
    <row r="1580" spans="1:30">
      <c r="B1580" s="13">
        <f t="shared" si="498"/>
        <v>29</v>
      </c>
      <c r="C1580" s="74" t="s">
        <v>666</v>
      </c>
      <c r="D1580" s="21" t="s">
        <v>838</v>
      </c>
      <c r="E1580" s="89"/>
      <c r="F1580" s="204"/>
      <c r="G1580" s="193"/>
      <c r="H1580" s="89"/>
      <c r="I1580" s="89"/>
      <c r="J1580" s="15">
        <v>981000000</v>
      </c>
      <c r="K1580" s="99">
        <v>1347150000</v>
      </c>
      <c r="L1580" s="57"/>
      <c r="M1580" s="25"/>
      <c r="N1580" s="49"/>
      <c r="O1580" s="401"/>
      <c r="P1580" s="401"/>
      <c r="Q1580" s="17"/>
      <c r="R1580" s="17"/>
      <c r="S1580" s="17"/>
      <c r="T1580" s="17"/>
      <c r="U1580" s="17"/>
      <c r="V1580" s="17"/>
      <c r="W1580" s="17"/>
      <c r="X1580" s="17"/>
      <c r="Y1580" s="637">
        <v>100</v>
      </c>
      <c r="Z1580" s="98">
        <v>100</v>
      </c>
      <c r="AA1580" s="22">
        <v>1326141218</v>
      </c>
      <c r="AB1580" s="19">
        <f t="shared" si="499"/>
        <v>98.440501651634932</v>
      </c>
      <c r="AC1580" s="20">
        <f t="shared" si="494"/>
        <v>1326141218</v>
      </c>
      <c r="AD1580" s="98">
        <f t="shared" si="495"/>
        <v>98.440501651634932</v>
      </c>
    </row>
    <row r="1581" spans="1:30" ht="25.5">
      <c r="B1581" s="13">
        <f t="shared" si="498"/>
        <v>30</v>
      </c>
      <c r="C1581" s="74" t="s">
        <v>602</v>
      </c>
      <c r="D1581" s="21" t="s">
        <v>839</v>
      </c>
      <c r="E1581" s="89"/>
      <c r="F1581" s="204"/>
      <c r="G1581" s="193"/>
      <c r="H1581" s="89"/>
      <c r="I1581" s="89"/>
      <c r="J1581" s="15">
        <v>40000000</v>
      </c>
      <c r="K1581" s="99">
        <v>24010000</v>
      </c>
      <c r="L1581" s="57"/>
      <c r="M1581" s="25"/>
      <c r="N1581" s="49"/>
      <c r="O1581" s="401"/>
      <c r="P1581" s="401"/>
      <c r="Q1581" s="17"/>
      <c r="R1581" s="17"/>
      <c r="S1581" s="17"/>
      <c r="T1581" s="17"/>
      <c r="U1581" s="17"/>
      <c r="V1581" s="17"/>
      <c r="W1581" s="17"/>
      <c r="X1581" s="17"/>
      <c r="Y1581" s="637">
        <v>100</v>
      </c>
      <c r="Z1581" s="98">
        <v>100</v>
      </c>
      <c r="AA1581" s="22">
        <v>19168719</v>
      </c>
      <c r="AB1581" s="19">
        <f t="shared" si="499"/>
        <v>79.836397334443987</v>
      </c>
      <c r="AC1581" s="20">
        <f t="shared" si="494"/>
        <v>19168719</v>
      </c>
      <c r="AD1581" s="98">
        <f t="shared" si="495"/>
        <v>79.836397334443987</v>
      </c>
    </row>
    <row r="1582" spans="1:30" ht="25.5">
      <c r="B1582" s="13">
        <f t="shared" si="498"/>
        <v>31</v>
      </c>
      <c r="C1582" s="74" t="s">
        <v>604</v>
      </c>
      <c r="D1582" s="21" t="s">
        <v>840</v>
      </c>
      <c r="E1582" s="89"/>
      <c r="F1582" s="204"/>
      <c r="G1582" s="193"/>
      <c r="H1582" s="89"/>
      <c r="I1582" s="89"/>
      <c r="J1582" s="15">
        <v>17000000</v>
      </c>
      <c r="K1582" s="99">
        <v>17000000</v>
      </c>
      <c r="L1582" s="57"/>
      <c r="M1582" s="25"/>
      <c r="N1582" s="49"/>
      <c r="O1582" s="401"/>
      <c r="P1582" s="401"/>
      <c r="Q1582" s="17"/>
      <c r="R1582" s="17"/>
      <c r="S1582" s="17"/>
      <c r="T1582" s="17"/>
      <c r="U1582" s="17"/>
      <c r="V1582" s="17"/>
      <c r="W1582" s="17"/>
      <c r="X1582" s="17"/>
      <c r="Y1582" s="637">
        <f t="shared" si="500"/>
        <v>100</v>
      </c>
      <c r="Z1582" s="98">
        <f t="shared" si="496"/>
        <v>100</v>
      </c>
      <c r="AA1582" s="22">
        <v>17000000</v>
      </c>
      <c r="AB1582" s="19">
        <f t="shared" si="499"/>
        <v>100</v>
      </c>
      <c r="AC1582" s="20">
        <f t="shared" si="494"/>
        <v>17000000</v>
      </c>
      <c r="AD1582" s="20">
        <f t="shared" si="495"/>
        <v>100</v>
      </c>
    </row>
    <row r="1583" spans="1:30">
      <c r="B1583" s="13">
        <f t="shared" si="498"/>
        <v>32</v>
      </c>
      <c r="C1583" s="74" t="s">
        <v>578</v>
      </c>
      <c r="D1583" s="21" t="s">
        <v>841</v>
      </c>
      <c r="E1583" s="89"/>
      <c r="F1583" s="204"/>
      <c r="G1583" s="193"/>
      <c r="H1583" s="89"/>
      <c r="I1583" s="89"/>
      <c r="J1583" s="15">
        <v>774000000</v>
      </c>
      <c r="K1583" s="99">
        <v>774000000</v>
      </c>
      <c r="L1583" s="57"/>
      <c r="M1583" s="25"/>
      <c r="N1583" s="49"/>
      <c r="O1583" s="401"/>
      <c r="P1583" s="401"/>
      <c r="Q1583" s="17"/>
      <c r="R1583" s="17"/>
      <c r="S1583" s="17"/>
      <c r="T1583" s="17"/>
      <c r="U1583" s="17"/>
      <c r="V1583" s="17"/>
      <c r="W1583" s="17"/>
      <c r="X1583" s="17"/>
      <c r="Y1583" s="637">
        <v>100</v>
      </c>
      <c r="Z1583" s="98">
        <v>100</v>
      </c>
      <c r="AA1583" s="22">
        <v>680805000</v>
      </c>
      <c r="AB1583" s="19">
        <f t="shared" si="499"/>
        <v>87.95930232558139</v>
      </c>
      <c r="AC1583" s="20">
        <f t="shared" si="494"/>
        <v>680805000</v>
      </c>
      <c r="AD1583" s="98">
        <f t="shared" si="495"/>
        <v>87.95930232558139</v>
      </c>
    </row>
    <row r="1584" spans="1:30">
      <c r="B1584" s="13">
        <f>B1583+1</f>
        <v>33</v>
      </c>
      <c r="C1584" s="74" t="s">
        <v>842</v>
      </c>
      <c r="D1584" s="21" t="s">
        <v>843</v>
      </c>
      <c r="E1584" s="89"/>
      <c r="F1584" s="204"/>
      <c r="G1584" s="193"/>
      <c r="H1584" s="89"/>
      <c r="I1584" s="89"/>
      <c r="J1584" s="15">
        <v>20000000</v>
      </c>
      <c r="K1584" s="99">
        <v>220000000</v>
      </c>
      <c r="L1584" s="57"/>
      <c r="M1584" s="25"/>
      <c r="N1584" s="49"/>
      <c r="O1584" s="401"/>
      <c r="P1584" s="401"/>
      <c r="Q1584" s="17"/>
      <c r="R1584" s="17"/>
      <c r="S1584" s="17"/>
      <c r="T1584" s="17"/>
      <c r="U1584" s="17"/>
      <c r="V1584" s="17"/>
      <c r="W1584" s="17"/>
      <c r="X1584" s="17"/>
      <c r="Y1584" s="637">
        <v>100</v>
      </c>
      <c r="Z1584" s="98">
        <v>100</v>
      </c>
      <c r="AA1584" s="22">
        <v>219000000</v>
      </c>
      <c r="AB1584" s="19">
        <f t="shared" si="499"/>
        <v>99.545454545454547</v>
      </c>
      <c r="AC1584" s="20">
        <f t="shared" si="494"/>
        <v>219000000</v>
      </c>
      <c r="AD1584" s="98">
        <f t="shared" si="495"/>
        <v>99.545454545454547</v>
      </c>
    </row>
    <row r="1585" spans="2:30" ht="25.5">
      <c r="B1585" s="13">
        <f t="shared" si="498"/>
        <v>34</v>
      </c>
      <c r="C1585" s="174">
        <v>15.021000000000001</v>
      </c>
      <c r="D1585" s="21" t="s">
        <v>844</v>
      </c>
      <c r="E1585" s="89"/>
      <c r="F1585" s="204"/>
      <c r="G1585" s="193"/>
      <c r="H1585" s="89"/>
      <c r="I1585" s="89"/>
      <c r="J1585" s="15">
        <v>9200000000</v>
      </c>
      <c r="K1585" s="99">
        <v>9200000000</v>
      </c>
      <c r="L1585" s="57"/>
      <c r="M1585" s="25"/>
      <c r="N1585" s="49"/>
      <c r="O1585" s="401"/>
      <c r="P1585" s="401"/>
      <c r="Q1585" s="17"/>
      <c r="R1585" s="17"/>
      <c r="S1585" s="17"/>
      <c r="T1585" s="17"/>
      <c r="U1585" s="17"/>
      <c r="V1585" s="17"/>
      <c r="W1585" s="17"/>
      <c r="X1585" s="17"/>
      <c r="Y1585" s="637">
        <v>100</v>
      </c>
      <c r="Z1585" s="98">
        <v>66</v>
      </c>
      <c r="AA1585" s="22">
        <v>5044699498</v>
      </c>
      <c r="AB1585" s="19">
        <f t="shared" si="499"/>
        <v>54.833690195652174</v>
      </c>
      <c r="AC1585" s="20">
        <f t="shared" si="494"/>
        <v>5044699498</v>
      </c>
      <c r="AD1585" s="98">
        <f t="shared" si="495"/>
        <v>54.833690195652174</v>
      </c>
    </row>
    <row r="1586" spans="2:30">
      <c r="B1586" s="13">
        <f>B1585+1</f>
        <v>35</v>
      </c>
      <c r="C1586" s="174">
        <v>15.022</v>
      </c>
      <c r="D1586" s="21" t="s">
        <v>845</v>
      </c>
      <c r="E1586" s="89"/>
      <c r="F1586" s="204"/>
      <c r="G1586" s="193"/>
      <c r="H1586" s="89"/>
      <c r="I1586" s="89"/>
      <c r="J1586" s="15">
        <v>50000000</v>
      </c>
      <c r="K1586" s="99">
        <v>50000000</v>
      </c>
      <c r="L1586" s="57"/>
      <c r="M1586" s="25"/>
      <c r="N1586" s="49"/>
      <c r="O1586" s="401"/>
      <c r="P1586" s="401"/>
      <c r="Q1586" s="17"/>
      <c r="R1586" s="17"/>
      <c r="S1586" s="17"/>
      <c r="T1586" s="17"/>
      <c r="U1586" s="17"/>
      <c r="V1586" s="17"/>
      <c r="W1586" s="17"/>
      <c r="X1586" s="17"/>
      <c r="Y1586" s="637">
        <v>100</v>
      </c>
      <c r="Z1586" s="98">
        <v>100</v>
      </c>
      <c r="AA1586" s="22">
        <v>49910000</v>
      </c>
      <c r="AB1586" s="19">
        <f t="shared" si="499"/>
        <v>99.82</v>
      </c>
      <c r="AC1586" s="20">
        <f t="shared" si="494"/>
        <v>49910000</v>
      </c>
      <c r="AD1586" s="98">
        <f t="shared" si="495"/>
        <v>99.82</v>
      </c>
    </row>
    <row r="1587" spans="2:30">
      <c r="B1587" s="13">
        <f t="shared" ref="B1587:B1588" si="501">B1586+1</f>
        <v>36</v>
      </c>
      <c r="C1587" s="174">
        <v>15.025</v>
      </c>
      <c r="D1587" s="58" t="s">
        <v>2331</v>
      </c>
      <c r="E1587" s="89"/>
      <c r="F1587" s="204"/>
      <c r="G1587" s="193"/>
      <c r="H1587" s="89"/>
      <c r="I1587" s="89"/>
      <c r="J1587" s="15"/>
      <c r="K1587" s="99">
        <v>368000000</v>
      </c>
      <c r="L1587" s="57"/>
      <c r="M1587" s="25"/>
      <c r="N1587" s="49"/>
      <c r="O1587" s="401"/>
      <c r="P1587" s="401"/>
      <c r="Q1587" s="17"/>
      <c r="R1587" s="17"/>
      <c r="S1587" s="17"/>
      <c r="T1587" s="17"/>
      <c r="U1587" s="17"/>
      <c r="V1587" s="17"/>
      <c r="W1587" s="17"/>
      <c r="X1587" s="17"/>
      <c r="Y1587" s="637">
        <v>0</v>
      </c>
      <c r="Z1587" s="98">
        <v>0</v>
      </c>
      <c r="AA1587" s="22">
        <v>6332500</v>
      </c>
      <c r="AB1587" s="19">
        <f t="shared" si="499"/>
        <v>1.7207880434782608</v>
      </c>
      <c r="AC1587" s="20">
        <f t="shared" si="494"/>
        <v>6332500</v>
      </c>
      <c r="AD1587" s="98">
        <f t="shared" si="495"/>
        <v>1.7207880434782608</v>
      </c>
    </row>
    <row r="1588" spans="2:30" ht="25.5">
      <c r="B1588" s="13">
        <f t="shared" si="501"/>
        <v>37</v>
      </c>
      <c r="C1588" s="174">
        <v>15.026</v>
      </c>
      <c r="D1588" s="75" t="s">
        <v>2332</v>
      </c>
      <c r="E1588" s="89"/>
      <c r="F1588" s="204"/>
      <c r="G1588" s="193"/>
      <c r="H1588" s="89"/>
      <c r="I1588" s="89"/>
      <c r="J1588" s="15"/>
      <c r="K1588" s="99">
        <v>2000000000</v>
      </c>
      <c r="L1588" s="57"/>
      <c r="M1588" s="25"/>
      <c r="N1588" s="49"/>
      <c r="O1588" s="401"/>
      <c r="P1588" s="401"/>
      <c r="Q1588" s="17"/>
      <c r="R1588" s="17"/>
      <c r="S1588" s="17"/>
      <c r="T1588" s="17"/>
      <c r="U1588" s="17"/>
      <c r="V1588" s="17"/>
      <c r="W1588" s="17"/>
      <c r="X1588" s="17"/>
      <c r="Y1588" s="637">
        <f t="shared" si="500"/>
        <v>0</v>
      </c>
      <c r="Z1588" s="98">
        <f t="shared" si="496"/>
        <v>0</v>
      </c>
      <c r="AA1588" s="22"/>
      <c r="AB1588" s="19">
        <f t="shared" si="499"/>
        <v>0</v>
      </c>
      <c r="AC1588" s="20">
        <f t="shared" si="494"/>
        <v>0</v>
      </c>
      <c r="AD1588" s="98">
        <f t="shared" si="495"/>
        <v>0</v>
      </c>
    </row>
    <row r="1589" spans="2:30" ht="27">
      <c r="B1589" s="13"/>
      <c r="C1589" s="86" t="s">
        <v>846</v>
      </c>
      <c r="D1589" s="86" t="s">
        <v>847</v>
      </c>
      <c r="E1589" s="87"/>
      <c r="F1589" s="485"/>
      <c r="G1589" s="441"/>
      <c r="H1589" s="87"/>
      <c r="I1589" s="87"/>
      <c r="J1589" s="209"/>
      <c r="K1589" s="209"/>
      <c r="L1589" s="57"/>
      <c r="M1589" s="25"/>
      <c r="N1589" s="49"/>
      <c r="O1589" s="401"/>
      <c r="P1589" s="401"/>
      <c r="Q1589" s="17"/>
      <c r="R1589" s="17"/>
      <c r="S1589" s="17"/>
      <c r="T1589" s="17"/>
      <c r="U1589" s="17"/>
      <c r="V1589" s="17"/>
      <c r="W1589" s="17"/>
      <c r="X1589" s="17"/>
      <c r="Y1589" s="637">
        <f t="shared" si="500"/>
        <v>0</v>
      </c>
      <c r="Z1589" s="98">
        <f t="shared" si="496"/>
        <v>0</v>
      </c>
      <c r="AA1589" s="149"/>
      <c r="AB1589" s="19"/>
      <c r="AC1589" s="20"/>
      <c r="AD1589" s="98"/>
    </row>
    <row r="1590" spans="2:30">
      <c r="B1590" s="13">
        <f>B1588+1</f>
        <v>38</v>
      </c>
      <c r="C1590" s="74" t="s">
        <v>375</v>
      </c>
      <c r="D1590" s="74" t="s">
        <v>848</v>
      </c>
      <c r="E1590" s="89"/>
      <c r="F1590" s="204"/>
      <c r="G1590" s="193"/>
      <c r="H1590" s="89"/>
      <c r="I1590" s="89"/>
      <c r="J1590" s="15">
        <v>11000000</v>
      </c>
      <c r="K1590" s="99">
        <v>11000000</v>
      </c>
      <c r="L1590" s="57"/>
      <c r="M1590" s="25"/>
      <c r="N1590" s="49"/>
      <c r="O1590" s="401"/>
      <c r="P1590" s="401"/>
      <c r="Q1590" s="17"/>
      <c r="R1590" s="17"/>
      <c r="S1590" s="17"/>
      <c r="T1590" s="17"/>
      <c r="U1590" s="17"/>
      <c r="V1590" s="17"/>
      <c r="W1590" s="17"/>
      <c r="X1590" s="17"/>
      <c r="Y1590" s="637">
        <v>100</v>
      </c>
      <c r="Z1590" s="98">
        <v>100</v>
      </c>
      <c r="AA1590" s="22">
        <v>10526500</v>
      </c>
      <c r="AB1590" s="19">
        <f t="shared" si="499"/>
        <v>95.695454545454552</v>
      </c>
      <c r="AC1590" s="20">
        <f t="shared" si="494"/>
        <v>10526500</v>
      </c>
      <c r="AD1590" s="98">
        <f t="shared" si="495"/>
        <v>95.695454545454552</v>
      </c>
    </row>
    <row r="1591" spans="2:30" ht="27">
      <c r="B1591" s="13"/>
      <c r="C1591" s="86" t="s">
        <v>849</v>
      </c>
      <c r="D1591" s="86" t="s">
        <v>850</v>
      </c>
      <c r="E1591" s="87"/>
      <c r="F1591" s="485"/>
      <c r="G1591" s="441"/>
      <c r="H1591" s="87"/>
      <c r="I1591" s="87"/>
      <c r="J1591" s="209"/>
      <c r="K1591" s="209"/>
      <c r="L1591" s="57"/>
      <c r="M1591" s="25"/>
      <c r="N1591" s="49"/>
      <c r="O1591" s="401"/>
      <c r="P1591" s="401"/>
      <c r="Q1591" s="17"/>
      <c r="R1591" s="17"/>
      <c r="S1591" s="17"/>
      <c r="T1591" s="17"/>
      <c r="U1591" s="17"/>
      <c r="V1591" s="17"/>
      <c r="W1591" s="17"/>
      <c r="X1591" s="17"/>
      <c r="Y1591" s="637">
        <f t="shared" si="500"/>
        <v>0</v>
      </c>
      <c r="Z1591" s="98">
        <f t="shared" si="496"/>
        <v>0</v>
      </c>
      <c r="AA1591" s="149"/>
      <c r="AB1591" s="19"/>
      <c r="AC1591" s="20"/>
      <c r="AD1591" s="98"/>
    </row>
    <row r="1592" spans="2:30" ht="25.5">
      <c r="B1592" s="13">
        <f>B1590+1</f>
        <v>39</v>
      </c>
      <c r="C1592" s="74" t="s">
        <v>219</v>
      </c>
      <c r="D1592" s="21" t="s">
        <v>851</v>
      </c>
      <c r="E1592" s="89"/>
      <c r="F1592" s="204"/>
      <c r="G1592" s="193"/>
      <c r="H1592" s="89"/>
      <c r="I1592" s="89"/>
      <c r="J1592" s="15">
        <v>222965000</v>
      </c>
      <c r="K1592" s="99">
        <v>222965000</v>
      </c>
      <c r="L1592" s="57"/>
      <c r="M1592" s="25"/>
      <c r="N1592" s="49"/>
      <c r="O1592" s="401"/>
      <c r="P1592" s="401"/>
      <c r="Q1592" s="17"/>
      <c r="R1592" s="17"/>
      <c r="S1592" s="17"/>
      <c r="T1592" s="17"/>
      <c r="U1592" s="17"/>
      <c r="V1592" s="17"/>
      <c r="W1592" s="17"/>
      <c r="X1592" s="17"/>
      <c r="Y1592" s="637">
        <v>100</v>
      </c>
      <c r="Z1592" s="98">
        <v>100</v>
      </c>
      <c r="AA1592" s="22">
        <v>222393000</v>
      </c>
      <c r="AB1592" s="19">
        <f t="shared" si="499"/>
        <v>99.743457493328549</v>
      </c>
      <c r="AC1592" s="20">
        <f t="shared" si="494"/>
        <v>222393000</v>
      </c>
      <c r="AD1592" s="98">
        <f t="shared" si="495"/>
        <v>99.743457493328549</v>
      </c>
    </row>
    <row r="1593" spans="2:30" ht="25.5">
      <c r="B1593" s="13">
        <f>B1592+1</f>
        <v>40</v>
      </c>
      <c r="C1593" s="74" t="s">
        <v>221</v>
      </c>
      <c r="D1593" s="21" t="s">
        <v>852</v>
      </c>
      <c r="E1593" s="89"/>
      <c r="F1593" s="204"/>
      <c r="G1593" s="193"/>
      <c r="H1593" s="89"/>
      <c r="I1593" s="89"/>
      <c r="J1593" s="15">
        <v>41672000</v>
      </c>
      <c r="K1593" s="99">
        <v>41672000</v>
      </c>
      <c r="L1593" s="57"/>
      <c r="M1593" s="25"/>
      <c r="N1593" s="49"/>
      <c r="O1593" s="401"/>
      <c r="P1593" s="401"/>
      <c r="Q1593" s="17"/>
      <c r="R1593" s="17"/>
      <c r="S1593" s="17"/>
      <c r="T1593" s="17"/>
      <c r="U1593" s="17"/>
      <c r="V1593" s="17"/>
      <c r="W1593" s="17"/>
      <c r="X1593" s="17"/>
      <c r="Y1593" s="637">
        <v>100</v>
      </c>
      <c r="Z1593" s="98">
        <v>100</v>
      </c>
      <c r="AA1593" s="22">
        <v>39350000</v>
      </c>
      <c r="AB1593" s="19">
        <f t="shared" si="499"/>
        <v>94.427913227106927</v>
      </c>
      <c r="AC1593" s="20">
        <f t="shared" si="494"/>
        <v>39350000</v>
      </c>
      <c r="AD1593" s="98">
        <f t="shared" si="495"/>
        <v>94.427913227106927</v>
      </c>
    </row>
    <row r="1594" spans="2:30" ht="25.5">
      <c r="B1594" s="13">
        <f>B1593+1</f>
        <v>41</v>
      </c>
      <c r="C1594" s="74" t="s">
        <v>564</v>
      </c>
      <c r="D1594" s="21" t="s">
        <v>853</v>
      </c>
      <c r="E1594" s="89"/>
      <c r="F1594" s="204"/>
      <c r="G1594" s="193"/>
      <c r="H1594" s="89"/>
      <c r="I1594" s="89"/>
      <c r="J1594" s="15">
        <v>39960000</v>
      </c>
      <c r="K1594" s="99">
        <v>39960000</v>
      </c>
      <c r="L1594" s="57"/>
      <c r="M1594" s="25"/>
      <c r="N1594" s="49"/>
      <c r="O1594" s="401"/>
      <c r="P1594" s="401"/>
      <c r="Q1594" s="17"/>
      <c r="R1594" s="17"/>
      <c r="S1594" s="17"/>
      <c r="T1594" s="17"/>
      <c r="U1594" s="17"/>
      <c r="V1594" s="17"/>
      <c r="W1594" s="17"/>
      <c r="X1594" s="17"/>
      <c r="Y1594" s="637">
        <v>100</v>
      </c>
      <c r="Z1594" s="98">
        <v>100</v>
      </c>
      <c r="AA1594" s="22">
        <v>38485000</v>
      </c>
      <c r="AB1594" s="19">
        <f t="shared" si="499"/>
        <v>96.308808808808806</v>
      </c>
      <c r="AC1594" s="20">
        <f t="shared" si="494"/>
        <v>38485000</v>
      </c>
      <c r="AD1594" s="98">
        <f t="shared" si="495"/>
        <v>96.308808808808806</v>
      </c>
    </row>
    <row r="1595" spans="2:30" ht="38.25">
      <c r="B1595" s="13">
        <f>B1594+1</f>
        <v>42</v>
      </c>
      <c r="C1595" s="74" t="s">
        <v>644</v>
      </c>
      <c r="D1595" s="21" t="s">
        <v>854</v>
      </c>
      <c r="E1595" s="89"/>
      <c r="F1595" s="204"/>
      <c r="G1595" s="193"/>
      <c r="H1595" s="89"/>
      <c r="I1595" s="89"/>
      <c r="J1595" s="15">
        <v>60000000</v>
      </c>
      <c r="K1595" s="99">
        <v>60000000</v>
      </c>
      <c r="L1595" s="57"/>
      <c r="M1595" s="25"/>
      <c r="N1595" s="49"/>
      <c r="O1595" s="401"/>
      <c r="P1595" s="401"/>
      <c r="Q1595" s="17"/>
      <c r="R1595" s="17"/>
      <c r="S1595" s="17"/>
      <c r="T1595" s="17"/>
      <c r="U1595" s="17"/>
      <c r="V1595" s="17"/>
      <c r="W1595" s="17"/>
      <c r="X1595" s="17"/>
      <c r="Y1595" s="637">
        <v>100</v>
      </c>
      <c r="Z1595" s="98">
        <v>100</v>
      </c>
      <c r="AA1595" s="22">
        <v>55096000</v>
      </c>
      <c r="AB1595" s="19">
        <f t="shared" si="499"/>
        <v>91.826666666666668</v>
      </c>
      <c r="AC1595" s="20">
        <f t="shared" si="494"/>
        <v>55096000</v>
      </c>
      <c r="AD1595" s="98">
        <f t="shared" si="495"/>
        <v>91.826666666666668</v>
      </c>
    </row>
    <row r="1596" spans="2:30" ht="27">
      <c r="B1596" s="13"/>
      <c r="C1596" s="86" t="s">
        <v>855</v>
      </c>
      <c r="D1596" s="86" t="s">
        <v>856</v>
      </c>
      <c r="E1596" s="87"/>
      <c r="F1596" s="485"/>
      <c r="G1596" s="441"/>
      <c r="H1596" s="87"/>
      <c r="I1596" s="87"/>
      <c r="J1596" s="209"/>
      <c r="K1596" s="209"/>
      <c r="L1596" s="57"/>
      <c r="M1596" s="25"/>
      <c r="N1596" s="49"/>
      <c r="O1596" s="401"/>
      <c r="P1596" s="401"/>
      <c r="Q1596" s="17"/>
      <c r="R1596" s="17"/>
      <c r="S1596" s="17"/>
      <c r="T1596" s="17"/>
      <c r="U1596" s="17"/>
      <c r="V1596" s="17"/>
      <c r="W1596" s="17"/>
      <c r="X1596" s="17"/>
      <c r="Y1596" s="637">
        <f t="shared" si="500"/>
        <v>0</v>
      </c>
      <c r="Z1596" s="98">
        <f t="shared" si="496"/>
        <v>0</v>
      </c>
      <c r="AA1596" s="22"/>
      <c r="AB1596" s="19"/>
      <c r="AC1596" s="20">
        <f t="shared" si="494"/>
        <v>0</v>
      </c>
      <c r="AD1596" s="98"/>
    </row>
    <row r="1597" spans="2:30" ht="25.5">
      <c r="B1597" s="13">
        <f>B1595+1</f>
        <v>43</v>
      </c>
      <c r="C1597" s="74" t="s">
        <v>375</v>
      </c>
      <c r="D1597" s="21" t="s">
        <v>857</v>
      </c>
      <c r="E1597" s="89"/>
      <c r="F1597" s="204"/>
      <c r="G1597" s="193"/>
      <c r="H1597" s="89"/>
      <c r="I1597" s="89"/>
      <c r="J1597" s="15">
        <v>984600000</v>
      </c>
      <c r="K1597" s="99">
        <v>1406850000</v>
      </c>
      <c r="L1597" s="57"/>
      <c r="M1597" s="25"/>
      <c r="N1597" s="49"/>
      <c r="O1597" s="401"/>
      <c r="P1597" s="401"/>
      <c r="Q1597" s="17"/>
      <c r="R1597" s="17"/>
      <c r="S1597" s="17"/>
      <c r="T1597" s="17"/>
      <c r="U1597" s="17"/>
      <c r="V1597" s="17"/>
      <c r="W1597" s="17"/>
      <c r="X1597" s="17"/>
      <c r="Y1597" s="637">
        <v>100</v>
      </c>
      <c r="Z1597" s="98">
        <v>100</v>
      </c>
      <c r="AA1597" s="22">
        <v>1137004000</v>
      </c>
      <c r="AB1597" s="19">
        <f t="shared" si="499"/>
        <v>80.819134946867109</v>
      </c>
      <c r="AC1597" s="20">
        <f t="shared" si="494"/>
        <v>1137004000</v>
      </c>
      <c r="AD1597" s="98">
        <f t="shared" si="495"/>
        <v>80.819134946867109</v>
      </c>
    </row>
    <row r="1598" spans="2:30" ht="25.5">
      <c r="B1598" s="13">
        <f>B1597+1</f>
        <v>44</v>
      </c>
      <c r="C1598" s="81">
        <v>16.003</v>
      </c>
      <c r="D1598" s="21" t="s">
        <v>858</v>
      </c>
      <c r="E1598" s="186"/>
      <c r="F1598" s="489"/>
      <c r="G1598" s="240"/>
      <c r="H1598" s="186"/>
      <c r="I1598" s="186"/>
      <c r="J1598" s="15">
        <v>975000000</v>
      </c>
      <c r="K1598" s="99">
        <v>975000000</v>
      </c>
      <c r="L1598" s="95"/>
      <c r="M1598" s="40"/>
      <c r="N1598" s="383"/>
      <c r="O1598" s="446"/>
      <c r="P1598" s="446"/>
      <c r="Q1598" s="44"/>
      <c r="R1598" s="44"/>
      <c r="S1598" s="44"/>
      <c r="T1598" s="44"/>
      <c r="U1598" s="44"/>
      <c r="V1598" s="44"/>
      <c r="W1598" s="44"/>
      <c r="X1598" s="44"/>
      <c r="Y1598" s="637">
        <v>100</v>
      </c>
      <c r="Z1598" s="98">
        <v>1</v>
      </c>
      <c r="AA1598" s="73">
        <v>6454500</v>
      </c>
      <c r="AB1598" s="19">
        <f t="shared" si="499"/>
        <v>0.66200000000000003</v>
      </c>
      <c r="AC1598" s="20">
        <f t="shared" si="494"/>
        <v>6454500</v>
      </c>
      <c r="AD1598" s="98">
        <f t="shared" si="495"/>
        <v>0.66200000000000003</v>
      </c>
    </row>
    <row r="1599" spans="2:30" ht="25.5">
      <c r="B1599" s="13">
        <f>B1598+1</f>
        <v>45</v>
      </c>
      <c r="C1599" s="81">
        <v>16.004000000000001</v>
      </c>
      <c r="D1599" s="21" t="s">
        <v>859</v>
      </c>
      <c r="E1599" s="186"/>
      <c r="F1599" s="489"/>
      <c r="G1599" s="240"/>
      <c r="H1599" s="186"/>
      <c r="I1599" s="186"/>
      <c r="J1599" s="15">
        <v>100000000</v>
      </c>
      <c r="K1599" s="99">
        <v>100000000</v>
      </c>
      <c r="L1599" s="95"/>
      <c r="M1599" s="40"/>
      <c r="N1599" s="383"/>
      <c r="O1599" s="446"/>
      <c r="P1599" s="446"/>
      <c r="Q1599" s="44"/>
      <c r="R1599" s="44"/>
      <c r="S1599" s="44"/>
      <c r="T1599" s="44"/>
      <c r="U1599" s="44"/>
      <c r="V1599" s="44"/>
      <c r="W1599" s="44"/>
      <c r="X1599" s="44"/>
      <c r="Y1599" s="637">
        <v>100</v>
      </c>
      <c r="Z1599" s="98">
        <v>100</v>
      </c>
      <c r="AA1599" s="73">
        <v>92660000</v>
      </c>
      <c r="AB1599" s="19">
        <f t="shared" si="499"/>
        <v>92.66</v>
      </c>
      <c r="AC1599" s="20">
        <f t="shared" si="494"/>
        <v>92660000</v>
      </c>
      <c r="AD1599" s="98">
        <f t="shared" si="495"/>
        <v>92.66</v>
      </c>
    </row>
    <row r="1600" spans="2:30">
      <c r="B1600" s="37">
        <v>127</v>
      </c>
      <c r="C1600" s="855" t="s">
        <v>860</v>
      </c>
      <c r="D1600" s="855"/>
      <c r="E1600" s="483"/>
      <c r="F1600" s="483">
        <v>45</v>
      </c>
      <c r="G1600" s="468"/>
      <c r="H1600" s="483"/>
      <c r="I1600" s="468"/>
      <c r="J1600" s="208">
        <f>SUM(J1548:J1599)</f>
        <v>17567221000</v>
      </c>
      <c r="K1600" s="208">
        <f>SUM(K1548:K1599)</f>
        <v>21709981000</v>
      </c>
      <c r="L1600" s="295"/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  <c r="W1600" s="28"/>
      <c r="X1600" s="28"/>
      <c r="Y1600" s="42">
        <f>SUM(Y1548:Y1599)/45</f>
        <v>95.555555555555557</v>
      </c>
      <c r="Z1600" s="42">
        <f>SUM(Z1548:Z1599)/45</f>
        <v>91.224222222222224</v>
      </c>
      <c r="AA1600" s="67">
        <f>SUM(AA1548:AA1599)</f>
        <v>12882983088</v>
      </c>
      <c r="AB1600" s="42">
        <f>SUM(AB1548:AB1599)/45</f>
        <v>82.730925790703793</v>
      </c>
      <c r="AC1600" s="67">
        <f>SUM(AC1548:AC1599)</f>
        <v>12882983088</v>
      </c>
      <c r="AD1600" s="42">
        <f>SUM(AD1548:AD1599)/45</f>
        <v>82.730925790703793</v>
      </c>
    </row>
    <row r="1601" spans="2:30" ht="27">
      <c r="B1601" s="66"/>
      <c r="C1601" s="63" t="s">
        <v>861</v>
      </c>
      <c r="D1601" s="64" t="s">
        <v>862</v>
      </c>
      <c r="E1601" s="484"/>
      <c r="F1601" s="506">
        <v>12</v>
      </c>
      <c r="G1601" s="543" t="s">
        <v>1845</v>
      </c>
      <c r="H1601" s="546">
        <v>0</v>
      </c>
      <c r="I1601" s="535" t="s">
        <v>1845</v>
      </c>
      <c r="J1601" s="127"/>
      <c r="K1601" s="65"/>
      <c r="L1601" s="66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  <c r="W1601" s="63"/>
      <c r="X1601" s="63"/>
      <c r="Y1601" s="53"/>
      <c r="Z1601" s="53"/>
      <c r="AA1601" s="22"/>
      <c r="AB1601" s="19"/>
      <c r="AC1601" s="53"/>
      <c r="AD1601" s="19"/>
    </row>
    <row r="1602" spans="2:30" ht="27">
      <c r="B1602" s="13"/>
      <c r="C1602" s="86" t="s">
        <v>861</v>
      </c>
      <c r="D1602" s="86" t="s">
        <v>26</v>
      </c>
      <c r="E1602" s="87"/>
      <c r="F1602" s="485"/>
      <c r="G1602" s="441"/>
      <c r="H1602" s="547"/>
      <c r="I1602" s="87"/>
      <c r="J1602" s="88"/>
      <c r="K1602" s="88"/>
      <c r="L1602" s="13"/>
      <c r="M1602" s="17" t="s">
        <v>1</v>
      </c>
      <c r="N1602" s="17"/>
      <c r="O1602" s="17"/>
      <c r="P1602" s="17"/>
      <c r="Q1602" s="17"/>
      <c r="R1602" s="17"/>
      <c r="S1602" s="17"/>
      <c r="T1602" s="17"/>
      <c r="U1602" s="17"/>
      <c r="V1602" s="17"/>
      <c r="W1602" s="17"/>
      <c r="X1602" s="17"/>
      <c r="Y1602" s="53"/>
      <c r="Z1602" s="53"/>
      <c r="AA1602" s="22"/>
      <c r="AB1602" s="19"/>
      <c r="AC1602" s="53"/>
      <c r="AD1602" s="19"/>
    </row>
    <row r="1603" spans="2:30">
      <c r="B1603" s="13">
        <f t="shared" si="498"/>
        <v>1</v>
      </c>
      <c r="C1603" s="74" t="s">
        <v>203</v>
      </c>
      <c r="D1603" s="74" t="s">
        <v>28</v>
      </c>
      <c r="E1603" s="89"/>
      <c r="F1603" s="544">
        <v>1</v>
      </c>
      <c r="G1603" s="545" t="s">
        <v>1845</v>
      </c>
      <c r="H1603" s="586">
        <v>0</v>
      </c>
      <c r="I1603" s="545" t="s">
        <v>1845</v>
      </c>
      <c r="J1603" s="15">
        <v>172200000</v>
      </c>
      <c r="K1603" s="25">
        <v>292000000</v>
      </c>
      <c r="L1603" s="13"/>
      <c r="M1603" s="17"/>
      <c r="N1603" s="17"/>
      <c r="O1603" s="17"/>
      <c r="P1603" s="17"/>
      <c r="Q1603" s="17"/>
      <c r="R1603" s="17"/>
      <c r="S1603" s="17"/>
      <c r="T1603" s="17"/>
      <c r="U1603" s="17"/>
      <c r="V1603" s="17"/>
      <c r="W1603" s="17"/>
      <c r="X1603" s="17"/>
      <c r="Y1603" s="20">
        <v>100</v>
      </c>
      <c r="Z1603" s="20">
        <v>100</v>
      </c>
      <c r="AA1603" s="20">
        <v>249317746</v>
      </c>
      <c r="AB1603" s="98">
        <f>AA1603/K1603*100</f>
        <v>85.382789726027397</v>
      </c>
      <c r="AC1603" s="20">
        <f t="shared" ref="AC1603:AC1608" si="502">AA1603</f>
        <v>249317746</v>
      </c>
      <c r="AD1603" s="98">
        <f>AC1603/K1603*100</f>
        <v>85.382789726027397</v>
      </c>
    </row>
    <row r="1604" spans="2:30">
      <c r="B1604" s="13">
        <f t="shared" si="498"/>
        <v>2</v>
      </c>
      <c r="C1604" s="74" t="s">
        <v>210</v>
      </c>
      <c r="D1604" s="74" t="s">
        <v>30</v>
      </c>
      <c r="E1604" s="89"/>
      <c r="F1604" s="544">
        <v>1</v>
      </c>
      <c r="G1604" s="545" t="s">
        <v>1845</v>
      </c>
      <c r="H1604" s="586">
        <v>0</v>
      </c>
      <c r="I1604" s="545" t="s">
        <v>1845</v>
      </c>
      <c r="J1604" s="15">
        <v>68565000</v>
      </c>
      <c r="K1604" s="25">
        <v>68565000</v>
      </c>
      <c r="L1604" s="13"/>
      <c r="M1604" s="17"/>
      <c r="N1604" s="17"/>
      <c r="O1604" s="17"/>
      <c r="P1604" s="17"/>
      <c r="Q1604" s="17"/>
      <c r="R1604" s="17"/>
      <c r="S1604" s="17"/>
      <c r="T1604" s="17"/>
      <c r="U1604" s="17"/>
      <c r="V1604" s="17"/>
      <c r="W1604" s="17"/>
      <c r="X1604" s="17"/>
      <c r="Y1604" s="20">
        <v>100</v>
      </c>
      <c r="Z1604" s="20">
        <v>100</v>
      </c>
      <c r="AA1604" s="20">
        <v>62181003</v>
      </c>
      <c r="AB1604" s="98">
        <f t="shared" ref="AB1604:AB1617" si="503">AA1604/K1604*100</f>
        <v>90.689131481076345</v>
      </c>
      <c r="AC1604" s="20">
        <f t="shared" si="502"/>
        <v>62181003</v>
      </c>
      <c r="AD1604" s="98">
        <f t="shared" ref="AD1604:AD1617" si="504">AC1604/K1604*100</f>
        <v>90.689131481076345</v>
      </c>
    </row>
    <row r="1605" spans="2:30">
      <c r="B1605" s="13">
        <f t="shared" si="498"/>
        <v>3</v>
      </c>
      <c r="C1605" s="74" t="s">
        <v>204</v>
      </c>
      <c r="D1605" s="74" t="s">
        <v>32</v>
      </c>
      <c r="E1605" s="89"/>
      <c r="F1605" s="544">
        <v>1</v>
      </c>
      <c r="G1605" s="545" t="s">
        <v>1845</v>
      </c>
      <c r="H1605" s="586">
        <v>0</v>
      </c>
      <c r="I1605" s="545" t="s">
        <v>1845</v>
      </c>
      <c r="J1605" s="15">
        <v>188000000</v>
      </c>
      <c r="K1605" s="25">
        <v>188000000</v>
      </c>
      <c r="L1605" s="13"/>
      <c r="M1605" s="17"/>
      <c r="N1605" s="17"/>
      <c r="O1605" s="17"/>
      <c r="P1605" s="17"/>
      <c r="Q1605" s="17"/>
      <c r="R1605" s="17"/>
      <c r="S1605" s="17"/>
      <c r="T1605" s="17"/>
      <c r="U1605" s="17"/>
      <c r="V1605" s="17"/>
      <c r="W1605" s="17"/>
      <c r="X1605" s="17"/>
      <c r="Y1605" s="20">
        <v>100</v>
      </c>
      <c r="Z1605" s="20">
        <v>100</v>
      </c>
      <c r="AA1605" s="20">
        <v>121955325</v>
      </c>
      <c r="AB1605" s="98">
        <f t="shared" si="503"/>
        <v>64.869853723404262</v>
      </c>
      <c r="AC1605" s="20">
        <f t="shared" si="502"/>
        <v>121955325</v>
      </c>
      <c r="AD1605" s="98">
        <f t="shared" si="504"/>
        <v>64.869853723404262</v>
      </c>
    </row>
    <row r="1606" spans="2:30">
      <c r="B1606" s="13">
        <f t="shared" si="498"/>
        <v>4</v>
      </c>
      <c r="C1606" s="74" t="s">
        <v>205</v>
      </c>
      <c r="D1606" s="74" t="s">
        <v>34</v>
      </c>
      <c r="E1606" s="89"/>
      <c r="F1606" s="544">
        <v>1</v>
      </c>
      <c r="G1606" s="545" t="s">
        <v>1845</v>
      </c>
      <c r="H1606" s="586">
        <v>0</v>
      </c>
      <c r="I1606" s="545" t="s">
        <v>1845</v>
      </c>
      <c r="J1606" s="15">
        <v>102000000</v>
      </c>
      <c r="K1606" s="25">
        <v>130000000</v>
      </c>
      <c r="L1606" s="13"/>
      <c r="M1606" s="17"/>
      <c r="N1606" s="17"/>
      <c r="O1606" s="17"/>
      <c r="P1606" s="17"/>
      <c r="Q1606" s="17"/>
      <c r="R1606" s="17"/>
      <c r="S1606" s="17"/>
      <c r="T1606" s="17"/>
      <c r="U1606" s="17"/>
      <c r="V1606" s="17"/>
      <c r="W1606" s="17"/>
      <c r="X1606" s="17"/>
      <c r="Y1606" s="20">
        <v>100</v>
      </c>
      <c r="Z1606" s="20">
        <v>100</v>
      </c>
      <c r="AA1606" s="20">
        <v>127640000</v>
      </c>
      <c r="AB1606" s="98">
        <f t="shared" si="503"/>
        <v>98.184615384615384</v>
      </c>
      <c r="AC1606" s="20">
        <f t="shared" si="502"/>
        <v>127640000</v>
      </c>
      <c r="AD1606" s="98">
        <f t="shared" si="504"/>
        <v>98.184615384615384</v>
      </c>
    </row>
    <row r="1607" spans="2:30">
      <c r="B1607" s="13">
        <f t="shared" si="498"/>
        <v>5</v>
      </c>
      <c r="C1607" s="74" t="s">
        <v>215</v>
      </c>
      <c r="D1607" s="74" t="s">
        <v>36</v>
      </c>
      <c r="E1607" s="89"/>
      <c r="F1607" s="544">
        <v>1</v>
      </c>
      <c r="G1607" s="545" t="s">
        <v>1845</v>
      </c>
      <c r="H1607" s="586">
        <v>0</v>
      </c>
      <c r="I1607" s="545" t="s">
        <v>1845</v>
      </c>
      <c r="J1607" s="15">
        <v>20000000</v>
      </c>
      <c r="K1607" s="25">
        <v>20000000</v>
      </c>
      <c r="L1607" s="13"/>
      <c r="M1607" s="17"/>
      <c r="N1607" s="17"/>
      <c r="O1607" s="17"/>
      <c r="P1607" s="17"/>
      <c r="Q1607" s="17"/>
      <c r="R1607" s="17"/>
      <c r="S1607" s="17"/>
      <c r="T1607" s="17"/>
      <c r="U1607" s="17"/>
      <c r="V1607" s="17"/>
      <c r="W1607" s="17"/>
      <c r="X1607" s="17"/>
      <c r="Y1607" s="20">
        <v>100</v>
      </c>
      <c r="Z1607" s="20">
        <v>100</v>
      </c>
      <c r="AA1607" s="20">
        <v>7726304</v>
      </c>
      <c r="AB1607" s="98">
        <f t="shared" si="503"/>
        <v>38.631520000000002</v>
      </c>
      <c r="AC1607" s="20">
        <f t="shared" si="502"/>
        <v>7726304</v>
      </c>
      <c r="AD1607" s="98">
        <f t="shared" si="504"/>
        <v>38.631520000000002</v>
      </c>
    </row>
    <row r="1608" spans="2:30" ht="27">
      <c r="B1608" s="13">
        <f t="shared" si="498"/>
        <v>6</v>
      </c>
      <c r="C1608" s="74" t="s">
        <v>216</v>
      </c>
      <c r="D1608" s="74" t="s">
        <v>360</v>
      </c>
      <c r="E1608" s="89"/>
      <c r="F1608" s="544">
        <v>1</v>
      </c>
      <c r="G1608" s="545" t="s">
        <v>1845</v>
      </c>
      <c r="H1608" s="586">
        <v>0</v>
      </c>
      <c r="I1608" s="545" t="s">
        <v>1845</v>
      </c>
      <c r="J1608" s="15">
        <v>7580000</v>
      </c>
      <c r="K1608" s="25">
        <v>7580000</v>
      </c>
      <c r="L1608" s="13"/>
      <c r="M1608" s="17"/>
      <c r="N1608" s="17"/>
      <c r="O1608" s="17"/>
      <c r="P1608" s="17"/>
      <c r="Q1608" s="17"/>
      <c r="R1608" s="17"/>
      <c r="S1608" s="17"/>
      <c r="T1608" s="17"/>
      <c r="U1608" s="17"/>
      <c r="V1608" s="17"/>
      <c r="W1608" s="17"/>
      <c r="X1608" s="17"/>
      <c r="Y1608" s="20">
        <v>100</v>
      </c>
      <c r="Z1608" s="20">
        <v>100</v>
      </c>
      <c r="AA1608" s="20">
        <v>6356000</v>
      </c>
      <c r="AB1608" s="98">
        <f t="shared" si="503"/>
        <v>83.852242744063318</v>
      </c>
      <c r="AC1608" s="20">
        <f t="shared" si="502"/>
        <v>6356000</v>
      </c>
      <c r="AD1608" s="98">
        <f t="shared" si="504"/>
        <v>83.852242744063318</v>
      </c>
    </row>
    <row r="1609" spans="2:30">
      <c r="B1609" s="13">
        <f t="shared" si="498"/>
        <v>7</v>
      </c>
      <c r="C1609" s="123" t="s">
        <v>863</v>
      </c>
      <c r="D1609" s="21" t="s">
        <v>864</v>
      </c>
      <c r="E1609" s="89"/>
      <c r="F1609" s="544">
        <v>1</v>
      </c>
      <c r="G1609" s="545" t="s">
        <v>1845</v>
      </c>
      <c r="H1609" s="586">
        <v>0</v>
      </c>
      <c r="I1609" s="545" t="s">
        <v>1845</v>
      </c>
      <c r="J1609" s="15">
        <v>10000000</v>
      </c>
      <c r="K1609" s="25">
        <v>10000000</v>
      </c>
      <c r="L1609" s="13"/>
      <c r="M1609" s="17"/>
      <c r="N1609" s="17"/>
      <c r="O1609" s="17"/>
      <c r="P1609" s="17"/>
      <c r="Q1609" s="17"/>
      <c r="R1609" s="17"/>
      <c r="S1609" s="17"/>
      <c r="T1609" s="17"/>
      <c r="U1609" s="17"/>
      <c r="V1609" s="17"/>
      <c r="W1609" s="17"/>
      <c r="X1609" s="17"/>
      <c r="Y1609" s="98">
        <f t="shared" ref="Y1609" si="505">AB1609</f>
        <v>0</v>
      </c>
      <c r="Z1609" s="98">
        <f t="shared" ref="Z1609" si="506">AD1609</f>
        <v>0</v>
      </c>
      <c r="AA1609" s="20"/>
      <c r="AB1609" s="98">
        <f t="shared" si="503"/>
        <v>0</v>
      </c>
      <c r="AC1609" s="20"/>
      <c r="AD1609" s="98">
        <f t="shared" si="504"/>
        <v>0</v>
      </c>
    </row>
    <row r="1610" spans="2:30" ht="27">
      <c r="B1610" s="13"/>
      <c r="C1610" s="86" t="s">
        <v>865</v>
      </c>
      <c r="D1610" s="86" t="s">
        <v>866</v>
      </c>
      <c r="E1610" s="87"/>
      <c r="F1610" s="544"/>
      <c r="G1610" s="545"/>
      <c r="H1610" s="586"/>
      <c r="I1610" s="545"/>
      <c r="J1610" s="88"/>
      <c r="K1610" s="88"/>
      <c r="L1610" s="13"/>
      <c r="M1610" s="17"/>
      <c r="N1610" s="17"/>
      <c r="O1610" s="17"/>
      <c r="P1610" s="17"/>
      <c r="Q1610" s="17"/>
      <c r="R1610" s="17"/>
      <c r="S1610" s="17"/>
      <c r="T1610" s="17"/>
      <c r="U1610" s="17"/>
      <c r="V1610" s="17"/>
      <c r="W1610" s="17"/>
      <c r="X1610" s="17"/>
      <c r="Y1610" s="98"/>
      <c r="Z1610" s="98"/>
      <c r="AA1610" s="20"/>
      <c r="AB1610" s="98"/>
      <c r="AC1610" s="20"/>
      <c r="AD1610" s="98"/>
    </row>
    <row r="1611" spans="2:30">
      <c r="B1611" s="13">
        <f>B1609+1</f>
        <v>8</v>
      </c>
      <c r="C1611" s="74" t="s">
        <v>219</v>
      </c>
      <c r="D1611" s="74" t="s">
        <v>867</v>
      </c>
      <c r="E1611" s="89"/>
      <c r="F1611" s="544">
        <v>1</v>
      </c>
      <c r="G1611" s="545" t="s">
        <v>1845</v>
      </c>
      <c r="H1611" s="586">
        <v>0</v>
      </c>
      <c r="I1611" s="545" t="s">
        <v>1845</v>
      </c>
      <c r="J1611" s="15">
        <v>24125000</v>
      </c>
      <c r="K1611" s="15">
        <v>24125000</v>
      </c>
      <c r="L1611" s="13"/>
      <c r="M1611" s="17"/>
      <c r="N1611" s="17"/>
      <c r="O1611" s="17"/>
      <c r="P1611" s="17"/>
      <c r="Q1611" s="17"/>
      <c r="R1611" s="17"/>
      <c r="S1611" s="17"/>
      <c r="T1611" s="17"/>
      <c r="U1611" s="17"/>
      <c r="V1611" s="17"/>
      <c r="W1611" s="17"/>
      <c r="X1611" s="17"/>
      <c r="Y1611" s="20">
        <v>100</v>
      </c>
      <c r="Z1611" s="20">
        <v>100</v>
      </c>
      <c r="AA1611" s="20">
        <v>17798000</v>
      </c>
      <c r="AB1611" s="98">
        <f t="shared" si="503"/>
        <v>73.774093264248705</v>
      </c>
      <c r="AC1611" s="20">
        <f>AA1611</f>
        <v>17798000</v>
      </c>
      <c r="AD1611" s="98">
        <f t="shared" si="504"/>
        <v>73.774093264248705</v>
      </c>
    </row>
    <row r="1612" spans="2:30">
      <c r="B1612" s="13">
        <f t="shared" si="498"/>
        <v>9</v>
      </c>
      <c r="C1612" s="74" t="s">
        <v>221</v>
      </c>
      <c r="D1612" s="74" t="s">
        <v>868</v>
      </c>
      <c r="E1612" s="89"/>
      <c r="F1612" s="544">
        <v>1</v>
      </c>
      <c r="G1612" s="545" t="s">
        <v>1845</v>
      </c>
      <c r="H1612" s="586">
        <v>0</v>
      </c>
      <c r="I1612" s="545" t="s">
        <v>1845</v>
      </c>
      <c r="J1612" s="15">
        <v>14950000</v>
      </c>
      <c r="K1612" s="15">
        <v>14950000</v>
      </c>
      <c r="L1612" s="13"/>
      <c r="M1612" s="17"/>
      <c r="N1612" s="17"/>
      <c r="O1612" s="17"/>
      <c r="P1612" s="17"/>
      <c r="Q1612" s="17"/>
      <c r="R1612" s="17"/>
      <c r="S1612" s="17"/>
      <c r="T1612" s="17"/>
      <c r="U1612" s="17"/>
      <c r="V1612" s="17"/>
      <c r="W1612" s="17"/>
      <c r="X1612" s="17"/>
      <c r="Y1612" s="20">
        <v>100</v>
      </c>
      <c r="Z1612" s="20">
        <v>100</v>
      </c>
      <c r="AA1612" s="20">
        <v>9700000</v>
      </c>
      <c r="AB1612" s="98">
        <f t="shared" si="503"/>
        <v>64.88294314381271</v>
      </c>
      <c r="AC1612" s="20">
        <f>AA1612</f>
        <v>9700000</v>
      </c>
      <c r="AD1612" s="98">
        <f t="shared" si="504"/>
        <v>64.88294314381271</v>
      </c>
    </row>
    <row r="1613" spans="2:30" ht="17.25" customHeight="1">
      <c r="B1613" s="13">
        <f t="shared" si="498"/>
        <v>10</v>
      </c>
      <c r="C1613" s="74" t="s">
        <v>600</v>
      </c>
      <c r="D1613" s="74" t="s">
        <v>869</v>
      </c>
      <c r="E1613" s="89"/>
      <c r="F1613" s="544">
        <v>1</v>
      </c>
      <c r="G1613" s="545" t="s">
        <v>1845</v>
      </c>
      <c r="H1613" s="586">
        <v>0</v>
      </c>
      <c r="I1613" s="545" t="s">
        <v>1845</v>
      </c>
      <c r="J1613" s="15">
        <v>9334000</v>
      </c>
      <c r="K1613" s="15">
        <v>9334000</v>
      </c>
      <c r="L1613" s="13"/>
      <c r="M1613" s="17"/>
      <c r="N1613" s="17"/>
      <c r="O1613" s="17"/>
      <c r="P1613" s="17"/>
      <c r="Q1613" s="17"/>
      <c r="R1613" s="17"/>
      <c r="S1613" s="17"/>
      <c r="T1613" s="17"/>
      <c r="U1613" s="17"/>
      <c r="V1613" s="17"/>
      <c r="W1613" s="17"/>
      <c r="X1613" s="17"/>
      <c r="Y1613" s="20">
        <v>100</v>
      </c>
      <c r="Z1613" s="20">
        <v>100</v>
      </c>
      <c r="AA1613" s="20">
        <v>9214000</v>
      </c>
      <c r="AB1613" s="98">
        <f t="shared" si="503"/>
        <v>98.714377544461101</v>
      </c>
      <c r="AC1613" s="20">
        <f>AA1613</f>
        <v>9214000</v>
      </c>
      <c r="AD1613" s="98">
        <f t="shared" si="504"/>
        <v>98.714377544461101</v>
      </c>
    </row>
    <row r="1614" spans="2:30" ht="22.5" customHeight="1">
      <c r="B1614" s="13"/>
      <c r="C1614" s="86" t="s">
        <v>870</v>
      </c>
      <c r="D1614" s="86" t="s">
        <v>871</v>
      </c>
      <c r="E1614" s="87"/>
      <c r="F1614" s="544"/>
      <c r="G1614" s="545"/>
      <c r="H1614" s="586"/>
      <c r="I1614" s="545"/>
      <c r="J1614" s="88"/>
      <c r="K1614" s="88"/>
      <c r="L1614" s="13"/>
      <c r="M1614" s="17"/>
      <c r="N1614" s="17"/>
      <c r="O1614" s="17"/>
      <c r="P1614" s="17"/>
      <c r="Q1614" s="17"/>
      <c r="R1614" s="17"/>
      <c r="S1614" s="17"/>
      <c r="T1614" s="17"/>
      <c r="U1614" s="17"/>
      <c r="V1614" s="17"/>
      <c r="W1614" s="17"/>
      <c r="X1614" s="17"/>
      <c r="Y1614" s="98"/>
      <c r="Z1614" s="98"/>
      <c r="AA1614" s="20"/>
      <c r="AB1614" s="98"/>
      <c r="AC1614" s="20"/>
      <c r="AD1614" s="98"/>
    </row>
    <row r="1615" spans="2:30" ht="32.25" customHeight="1">
      <c r="B1615" s="13">
        <f>B1613+1</f>
        <v>11</v>
      </c>
      <c r="C1615" s="74" t="s">
        <v>375</v>
      </c>
      <c r="D1615" s="74" t="s">
        <v>872</v>
      </c>
      <c r="E1615" s="191"/>
      <c r="F1615" s="544">
        <v>1</v>
      </c>
      <c r="G1615" s="545" t="s">
        <v>1845</v>
      </c>
      <c r="H1615" s="586">
        <v>0</v>
      </c>
      <c r="I1615" s="545" t="s">
        <v>1845</v>
      </c>
      <c r="J1615" s="15">
        <v>50000000</v>
      </c>
      <c r="K1615" s="41">
        <v>75000000</v>
      </c>
      <c r="L1615" s="13"/>
      <c r="M1615" s="17"/>
      <c r="N1615" s="17"/>
      <c r="O1615" s="17"/>
      <c r="P1615" s="17"/>
      <c r="Q1615" s="17"/>
      <c r="R1615" s="17"/>
      <c r="S1615" s="17"/>
      <c r="T1615" s="17"/>
      <c r="U1615" s="17"/>
      <c r="V1615" s="17"/>
      <c r="W1615" s="17"/>
      <c r="X1615" s="17"/>
      <c r="Y1615" s="461">
        <v>100</v>
      </c>
      <c r="Z1615" s="461">
        <v>100</v>
      </c>
      <c r="AA1615" s="20">
        <v>43075000</v>
      </c>
      <c r="AB1615" s="98">
        <f t="shared" si="503"/>
        <v>57.433333333333337</v>
      </c>
      <c r="AC1615" s="20">
        <f>AA1615</f>
        <v>43075000</v>
      </c>
      <c r="AD1615" s="98">
        <f t="shared" si="504"/>
        <v>57.433333333333337</v>
      </c>
    </row>
    <row r="1616" spans="2:30" ht="27">
      <c r="B1616" s="13"/>
      <c r="C1616" s="86" t="s">
        <v>873</v>
      </c>
      <c r="D1616" s="86" t="s">
        <v>874</v>
      </c>
      <c r="E1616" s="87"/>
      <c r="F1616" s="544"/>
      <c r="G1616" s="545"/>
      <c r="H1616" s="586"/>
      <c r="I1616" s="545"/>
      <c r="J1616" s="88"/>
      <c r="K1616" s="88"/>
      <c r="L1616" s="13"/>
      <c r="M1616" s="17"/>
      <c r="N1616" s="17"/>
      <c r="O1616" s="17"/>
      <c r="P1616" s="17"/>
      <c r="Q1616" s="17"/>
      <c r="R1616" s="17"/>
      <c r="S1616" s="17"/>
      <c r="T1616" s="17"/>
      <c r="U1616" s="17"/>
      <c r="V1616" s="17"/>
      <c r="W1616" s="17"/>
      <c r="X1616" s="17"/>
      <c r="Y1616" s="461"/>
      <c r="Z1616" s="461"/>
      <c r="AA1616" s="20"/>
      <c r="AB1616" s="98"/>
      <c r="AC1616" s="20"/>
      <c r="AD1616" s="98"/>
    </row>
    <row r="1617" spans="2:30">
      <c r="B1617" s="45">
        <f>B1615+1</f>
        <v>12</v>
      </c>
      <c r="C1617" s="93" t="s">
        <v>664</v>
      </c>
      <c r="D1617" s="93" t="s">
        <v>875</v>
      </c>
      <c r="E1617" s="186"/>
      <c r="F1617" s="544">
        <v>1</v>
      </c>
      <c r="G1617" s="545" t="s">
        <v>1845</v>
      </c>
      <c r="H1617" s="586">
        <v>0</v>
      </c>
      <c r="I1617" s="545" t="s">
        <v>1845</v>
      </c>
      <c r="J1617" s="15">
        <v>14100000</v>
      </c>
      <c r="K1617" s="41">
        <v>14100000</v>
      </c>
      <c r="L1617" s="45"/>
      <c r="M1617" s="44"/>
      <c r="N1617" s="44"/>
      <c r="O1617" s="44"/>
      <c r="P1617" s="44"/>
      <c r="Q1617" s="44"/>
      <c r="R1617" s="44"/>
      <c r="S1617" s="44"/>
      <c r="T1617" s="44"/>
      <c r="U1617" s="44"/>
      <c r="V1617" s="44"/>
      <c r="W1617" s="44"/>
      <c r="X1617" s="44"/>
      <c r="Y1617" s="461">
        <f t="shared" ref="Y1617" si="507">AB1617</f>
        <v>100</v>
      </c>
      <c r="Z1617" s="461">
        <f t="shared" ref="Z1617" si="508">AD1617</f>
        <v>100</v>
      </c>
      <c r="AA1617" s="100">
        <v>14100000</v>
      </c>
      <c r="AB1617" s="98">
        <f t="shared" si="503"/>
        <v>100</v>
      </c>
      <c r="AC1617" s="100">
        <f>AA1617</f>
        <v>14100000</v>
      </c>
      <c r="AD1617" s="98">
        <f t="shared" si="504"/>
        <v>100</v>
      </c>
    </row>
    <row r="1618" spans="2:30">
      <c r="B1618" s="295">
        <v>128</v>
      </c>
      <c r="C1618" s="855" t="s">
        <v>876</v>
      </c>
      <c r="D1618" s="855"/>
      <c r="E1618" s="483"/>
      <c r="F1618" s="483">
        <v>12</v>
      </c>
      <c r="G1618" s="521" t="s">
        <v>1845</v>
      </c>
      <c r="H1618" s="587">
        <f>SUM(H1603:H1617)</f>
        <v>0</v>
      </c>
      <c r="I1618" s="521" t="s">
        <v>1845</v>
      </c>
      <c r="J1618" s="208">
        <f>SUM(J1603:J1617)</f>
        <v>680854000</v>
      </c>
      <c r="K1618" s="208">
        <f>SUM(K1603:K1617)</f>
        <v>853654000</v>
      </c>
      <c r="L1618" s="295"/>
      <c r="M1618" s="28"/>
      <c r="N1618" s="28"/>
      <c r="O1618" s="28"/>
      <c r="P1618" s="28"/>
      <c r="Q1618" s="28"/>
      <c r="R1618" s="28"/>
      <c r="S1618" s="465" t="s">
        <v>1458</v>
      </c>
      <c r="T1618" s="539" t="s">
        <v>1459</v>
      </c>
      <c r="U1618" s="539" t="s">
        <v>1459</v>
      </c>
      <c r="V1618" s="539" t="s">
        <v>1459</v>
      </c>
      <c r="W1618" s="539" t="s">
        <v>1459</v>
      </c>
      <c r="X1618" s="539"/>
      <c r="Y1618" s="82">
        <f>SUM(Y1603:Y1617)/12</f>
        <v>91.666666666666671</v>
      </c>
      <c r="Z1618" s="82">
        <f>SUM(Z1603:Z1617)/12</f>
        <v>91.666666666666671</v>
      </c>
      <c r="AA1618" s="68">
        <f>SUM(AA1603:AA1617)</f>
        <v>669063378</v>
      </c>
      <c r="AB1618" s="84">
        <f>SUM(AB1603:AB1617)/12</f>
        <v>71.367908362086879</v>
      </c>
      <c r="AC1618" s="68">
        <f>SUM(AC1603:AC1617)</f>
        <v>669063378</v>
      </c>
      <c r="AD1618" s="84">
        <f>SUM(AD1603:AD1617)/12</f>
        <v>71.367908362086879</v>
      </c>
    </row>
    <row r="1619" spans="2:30">
      <c r="B1619" s="66"/>
      <c r="C1619" s="63" t="s">
        <v>877</v>
      </c>
      <c r="D1619" s="64" t="s">
        <v>878</v>
      </c>
      <c r="E1619" s="484"/>
      <c r="F1619" s="549">
        <v>21</v>
      </c>
      <c r="G1619" s="543" t="s">
        <v>1845</v>
      </c>
      <c r="H1619" s="540">
        <v>0</v>
      </c>
      <c r="I1619" s="535" t="s">
        <v>1845</v>
      </c>
      <c r="J1619" s="65"/>
      <c r="K1619" s="65"/>
      <c r="L1619" s="66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  <c r="W1619" s="63"/>
      <c r="X1619" s="63"/>
      <c r="Y1619" s="63"/>
      <c r="Z1619" s="63"/>
      <c r="AA1619" s="63"/>
      <c r="AB1619" s="63"/>
      <c r="AC1619" s="63"/>
      <c r="AD1619" s="63"/>
    </row>
    <row r="1620" spans="2:30" ht="31.5">
      <c r="B1620" s="13"/>
      <c r="C1620" s="160" t="s">
        <v>877</v>
      </c>
      <c r="D1620" s="160" t="s">
        <v>26</v>
      </c>
      <c r="E1620" s="87"/>
      <c r="F1620" s="569"/>
      <c r="G1620" s="557"/>
      <c r="H1620" s="87"/>
      <c r="I1620" s="87"/>
      <c r="J1620" s="130"/>
      <c r="K1620" s="130" t="s">
        <v>1</v>
      </c>
      <c r="L1620" s="168"/>
      <c r="M1620" s="17"/>
      <c r="N1620" s="18"/>
      <c r="O1620" s="18"/>
      <c r="P1620" s="18"/>
      <c r="Q1620" s="17"/>
      <c r="R1620" s="17"/>
      <c r="S1620" s="17"/>
      <c r="T1620" s="17"/>
      <c r="U1620" s="17"/>
      <c r="V1620" s="17"/>
      <c r="W1620" s="17"/>
      <c r="X1620" s="17"/>
      <c r="Y1620" s="20"/>
      <c r="Z1620" s="20"/>
      <c r="AA1620" s="20"/>
      <c r="AB1620" s="98"/>
      <c r="AC1620" s="20"/>
      <c r="AD1620" s="98"/>
    </row>
    <row r="1621" spans="2:30">
      <c r="B1621" s="13">
        <f t="shared" ref="B1621:B1640" si="509">B1620+1</f>
        <v>1</v>
      </c>
      <c r="C1621" s="74" t="s">
        <v>203</v>
      </c>
      <c r="D1621" s="74" t="s">
        <v>28</v>
      </c>
      <c r="E1621" s="217"/>
      <c r="F1621" s="568">
        <v>1</v>
      </c>
      <c r="G1621" s="545" t="s">
        <v>1845</v>
      </c>
      <c r="H1621" s="588">
        <v>0</v>
      </c>
      <c r="I1621" s="545" t="s">
        <v>1845</v>
      </c>
      <c r="J1621" s="15">
        <v>143627000</v>
      </c>
      <c r="K1621" s="99">
        <v>238472000</v>
      </c>
      <c r="L1621" s="168"/>
      <c r="M1621" s="17"/>
      <c r="N1621" s="18"/>
      <c r="O1621" s="18"/>
      <c r="P1621" s="18"/>
      <c r="Q1621" s="17"/>
      <c r="R1621" s="17"/>
      <c r="S1621" s="17"/>
      <c r="T1621" s="17"/>
      <c r="U1621" s="17"/>
      <c r="V1621" s="17"/>
      <c r="W1621" s="17"/>
      <c r="X1621" s="17"/>
      <c r="Y1621" s="53">
        <v>100</v>
      </c>
      <c r="Z1621" s="53">
        <v>95</v>
      </c>
      <c r="AA1621" s="22">
        <v>226065376</v>
      </c>
      <c r="AB1621" s="19">
        <f>AA1621/K1621*100</f>
        <v>94.797450434432548</v>
      </c>
      <c r="AC1621" s="22">
        <f>AA1621</f>
        <v>226065376</v>
      </c>
      <c r="AD1621" s="19">
        <f>AC1621/K1621*100</f>
        <v>94.797450434432548</v>
      </c>
    </row>
    <row r="1622" spans="2:30">
      <c r="B1622" s="13">
        <f t="shared" si="509"/>
        <v>2</v>
      </c>
      <c r="C1622" s="74" t="s">
        <v>210</v>
      </c>
      <c r="D1622" s="74" t="s">
        <v>30</v>
      </c>
      <c r="E1622" s="217"/>
      <c r="F1622" s="568">
        <v>1</v>
      </c>
      <c r="G1622" s="545" t="s">
        <v>1845</v>
      </c>
      <c r="H1622" s="588">
        <v>0</v>
      </c>
      <c r="I1622" s="545" t="s">
        <v>1845</v>
      </c>
      <c r="J1622" s="15">
        <v>76070000</v>
      </c>
      <c r="K1622" s="99">
        <v>96390000</v>
      </c>
      <c r="L1622" s="168"/>
      <c r="M1622" s="17"/>
      <c r="N1622" s="18"/>
      <c r="O1622" s="18"/>
      <c r="P1622" s="18"/>
      <c r="Q1622" s="17"/>
      <c r="R1622" s="17"/>
      <c r="S1622" s="17"/>
      <c r="T1622" s="17"/>
      <c r="U1622" s="17"/>
      <c r="V1622" s="17"/>
      <c r="W1622" s="17"/>
      <c r="X1622" s="17"/>
      <c r="Y1622" s="53">
        <v>100</v>
      </c>
      <c r="Z1622" s="53">
        <v>97</v>
      </c>
      <c r="AA1622" s="22">
        <v>93105750</v>
      </c>
      <c r="AB1622" s="19">
        <f t="shared" ref="AB1622:AB1645" si="510">AA1622/K1622*100</f>
        <v>96.592748210395271</v>
      </c>
      <c r="AC1622" s="22">
        <f t="shared" ref="AC1622:AC1645" si="511">AA1622</f>
        <v>93105750</v>
      </c>
      <c r="AD1622" s="19">
        <f t="shared" ref="AD1622:AD1645" si="512">AC1622/K1622*100</f>
        <v>96.592748210395271</v>
      </c>
    </row>
    <row r="1623" spans="2:30">
      <c r="B1623" s="13">
        <f t="shared" si="509"/>
        <v>3</v>
      </c>
      <c r="C1623" s="74" t="s">
        <v>204</v>
      </c>
      <c r="D1623" s="74" t="s">
        <v>32</v>
      </c>
      <c r="E1623" s="217"/>
      <c r="F1623" s="568">
        <v>1</v>
      </c>
      <c r="G1623" s="545" t="s">
        <v>1845</v>
      </c>
      <c r="H1623" s="588">
        <v>0</v>
      </c>
      <c r="I1623" s="545" t="s">
        <v>1845</v>
      </c>
      <c r="J1623" s="15">
        <v>251745000</v>
      </c>
      <c r="K1623" s="99">
        <v>266610000</v>
      </c>
      <c r="L1623" s="168"/>
      <c r="M1623" s="17"/>
      <c r="N1623" s="18"/>
      <c r="O1623" s="18"/>
      <c r="P1623" s="18"/>
      <c r="Q1623" s="17"/>
      <c r="R1623" s="17"/>
      <c r="S1623" s="17"/>
      <c r="T1623" s="17"/>
      <c r="U1623" s="17"/>
      <c r="V1623" s="17"/>
      <c r="W1623" s="17"/>
      <c r="X1623" s="17"/>
      <c r="Y1623" s="53">
        <v>100</v>
      </c>
      <c r="Z1623" s="53">
        <v>82</v>
      </c>
      <c r="AA1623" s="22">
        <v>218896736</v>
      </c>
      <c r="AB1623" s="19">
        <f t="shared" si="510"/>
        <v>82.103723041146253</v>
      </c>
      <c r="AC1623" s="22">
        <f t="shared" si="511"/>
        <v>218896736</v>
      </c>
      <c r="AD1623" s="19">
        <f t="shared" si="512"/>
        <v>82.103723041146253</v>
      </c>
    </row>
    <row r="1624" spans="2:30">
      <c r="B1624" s="13">
        <f t="shared" si="509"/>
        <v>4</v>
      </c>
      <c r="C1624" s="74" t="s">
        <v>205</v>
      </c>
      <c r="D1624" s="74" t="s">
        <v>34</v>
      </c>
      <c r="E1624" s="217"/>
      <c r="F1624" s="568">
        <v>1</v>
      </c>
      <c r="G1624" s="545" t="s">
        <v>1845</v>
      </c>
      <c r="H1624" s="588">
        <v>0</v>
      </c>
      <c r="I1624" s="545" t="s">
        <v>1845</v>
      </c>
      <c r="J1624" s="15">
        <v>145500000</v>
      </c>
      <c r="K1624" s="99">
        <v>156100000</v>
      </c>
      <c r="L1624" s="13"/>
      <c r="M1624" s="17"/>
      <c r="N1624" s="218"/>
      <c r="O1624" s="18"/>
      <c r="P1624" s="18"/>
      <c r="Q1624" s="17"/>
      <c r="R1624" s="17"/>
      <c r="S1624" s="17"/>
      <c r="T1624" s="17"/>
      <c r="U1624" s="17"/>
      <c r="V1624" s="17"/>
      <c r="W1624" s="17"/>
      <c r="X1624" s="17"/>
      <c r="Y1624" s="53">
        <v>100</v>
      </c>
      <c r="Z1624" s="53">
        <f t="shared" ref="Z1624:Z1625" si="513">AB1624</f>
        <v>97.048366431774497</v>
      </c>
      <c r="AA1624" s="22">
        <v>151492500</v>
      </c>
      <c r="AB1624" s="19">
        <f t="shared" si="510"/>
        <v>97.048366431774497</v>
      </c>
      <c r="AC1624" s="22">
        <f t="shared" si="511"/>
        <v>151492500</v>
      </c>
      <c r="AD1624" s="19">
        <f t="shared" si="512"/>
        <v>97.048366431774497</v>
      </c>
    </row>
    <row r="1625" spans="2:30">
      <c r="B1625" s="13">
        <f t="shared" si="509"/>
        <v>5</v>
      </c>
      <c r="C1625" s="74" t="s">
        <v>215</v>
      </c>
      <c r="D1625" s="74" t="s">
        <v>36</v>
      </c>
      <c r="E1625" s="217"/>
      <c r="F1625" s="568">
        <v>1</v>
      </c>
      <c r="G1625" s="545" t="s">
        <v>1845</v>
      </c>
      <c r="H1625" s="588">
        <v>0</v>
      </c>
      <c r="I1625" s="545" t="s">
        <v>1845</v>
      </c>
      <c r="J1625" s="15">
        <v>8000000</v>
      </c>
      <c r="K1625" s="99">
        <v>8000000</v>
      </c>
      <c r="L1625" s="13"/>
      <c r="M1625" s="17"/>
      <c r="N1625" s="218"/>
      <c r="O1625" s="18"/>
      <c r="P1625" s="18"/>
      <c r="Q1625" s="17"/>
      <c r="R1625" s="17"/>
      <c r="S1625" s="17"/>
      <c r="T1625" s="17"/>
      <c r="U1625" s="17"/>
      <c r="V1625" s="17"/>
      <c r="W1625" s="17"/>
      <c r="X1625" s="17"/>
      <c r="Y1625" s="53">
        <v>100</v>
      </c>
      <c r="Z1625" s="53">
        <f t="shared" si="513"/>
        <v>96.059375000000003</v>
      </c>
      <c r="AA1625" s="22">
        <v>7684750</v>
      </c>
      <c r="AB1625" s="19">
        <f t="shared" si="510"/>
        <v>96.059375000000003</v>
      </c>
      <c r="AC1625" s="22">
        <f t="shared" si="511"/>
        <v>7684750</v>
      </c>
      <c r="AD1625" s="19">
        <f t="shared" si="512"/>
        <v>96.059375000000003</v>
      </c>
    </row>
    <row r="1626" spans="2:30" ht="25.5">
      <c r="B1626" s="13">
        <f t="shared" si="509"/>
        <v>6</v>
      </c>
      <c r="C1626" s="74" t="s">
        <v>216</v>
      </c>
      <c r="D1626" s="21" t="s">
        <v>38</v>
      </c>
      <c r="E1626" s="217"/>
      <c r="F1626" s="568">
        <v>1</v>
      </c>
      <c r="G1626" s="545" t="s">
        <v>1845</v>
      </c>
      <c r="H1626" s="588">
        <v>0</v>
      </c>
      <c r="I1626" s="545" t="s">
        <v>1845</v>
      </c>
      <c r="J1626" s="15">
        <v>8000000</v>
      </c>
      <c r="K1626" s="99">
        <v>8000000</v>
      </c>
      <c r="L1626" s="13"/>
      <c r="M1626" s="17"/>
      <c r="N1626" s="218"/>
      <c r="O1626" s="18"/>
      <c r="P1626" s="18"/>
      <c r="Q1626" s="17"/>
      <c r="R1626" s="17"/>
      <c r="S1626" s="17"/>
      <c r="T1626" s="17"/>
      <c r="U1626" s="17"/>
      <c r="V1626" s="17"/>
      <c r="W1626" s="17"/>
      <c r="X1626" s="17"/>
      <c r="Y1626" s="53">
        <v>100</v>
      </c>
      <c r="Z1626" s="53">
        <v>100</v>
      </c>
      <c r="AA1626" s="22">
        <v>8000000</v>
      </c>
      <c r="AB1626" s="19">
        <f t="shared" si="510"/>
        <v>100</v>
      </c>
      <c r="AC1626" s="22">
        <f t="shared" si="511"/>
        <v>8000000</v>
      </c>
      <c r="AD1626" s="19">
        <f t="shared" si="512"/>
        <v>100</v>
      </c>
    </row>
    <row r="1627" spans="2:30" ht="27">
      <c r="B1627" s="13"/>
      <c r="C1627" s="86" t="s">
        <v>879</v>
      </c>
      <c r="D1627" s="86" t="s">
        <v>880</v>
      </c>
      <c r="E1627" s="219"/>
      <c r="F1627" s="568"/>
      <c r="G1627" s="545"/>
      <c r="H1627" s="588"/>
      <c r="I1627" s="545"/>
      <c r="J1627" s="88"/>
      <c r="K1627" s="16"/>
      <c r="L1627" s="13"/>
      <c r="M1627" s="17"/>
      <c r="N1627" s="218"/>
      <c r="O1627" s="18"/>
      <c r="P1627" s="18"/>
      <c r="Q1627" s="17"/>
      <c r="R1627" s="17"/>
      <c r="S1627" s="17"/>
      <c r="T1627" s="17"/>
      <c r="U1627" s="17"/>
      <c r="V1627" s="17"/>
      <c r="W1627" s="17"/>
      <c r="X1627" s="17"/>
      <c r="Y1627" s="53"/>
      <c r="Z1627" s="53"/>
      <c r="AA1627" s="22"/>
      <c r="AB1627" s="19"/>
      <c r="AC1627" s="22"/>
      <c r="AD1627" s="19"/>
    </row>
    <row r="1628" spans="2:30" ht="27">
      <c r="B1628" s="13">
        <f>B1626+1</f>
        <v>7</v>
      </c>
      <c r="C1628" s="74" t="s">
        <v>219</v>
      </c>
      <c r="D1628" s="74" t="s">
        <v>881</v>
      </c>
      <c r="E1628" s="217"/>
      <c r="F1628" s="568">
        <v>1</v>
      </c>
      <c r="G1628" s="545" t="s">
        <v>1845</v>
      </c>
      <c r="H1628" s="588">
        <v>0</v>
      </c>
      <c r="I1628" s="545" t="s">
        <v>1845</v>
      </c>
      <c r="J1628" s="15">
        <v>37100000</v>
      </c>
      <c r="K1628" s="99">
        <v>71600000</v>
      </c>
      <c r="L1628" s="13"/>
      <c r="M1628" s="17"/>
      <c r="N1628" s="18"/>
      <c r="O1628" s="18"/>
      <c r="P1628" s="18"/>
      <c r="Q1628" s="17"/>
      <c r="R1628" s="17"/>
      <c r="S1628" s="17"/>
      <c r="T1628" s="17"/>
      <c r="U1628" s="17"/>
      <c r="V1628" s="17"/>
      <c r="W1628" s="17"/>
      <c r="X1628" s="17"/>
      <c r="Y1628" s="53">
        <v>100</v>
      </c>
      <c r="Z1628" s="53">
        <v>100</v>
      </c>
      <c r="AA1628" s="22">
        <v>71600000</v>
      </c>
      <c r="AB1628" s="19">
        <f t="shared" si="510"/>
        <v>100</v>
      </c>
      <c r="AC1628" s="22">
        <f t="shared" si="511"/>
        <v>71600000</v>
      </c>
      <c r="AD1628" s="19">
        <f t="shared" si="512"/>
        <v>100</v>
      </c>
    </row>
    <row r="1629" spans="2:30">
      <c r="B1629" s="13">
        <f t="shared" si="509"/>
        <v>8</v>
      </c>
      <c r="C1629" s="74" t="s">
        <v>221</v>
      </c>
      <c r="D1629" s="74" t="s">
        <v>882</v>
      </c>
      <c r="E1629" s="217"/>
      <c r="F1629" s="568">
        <v>1</v>
      </c>
      <c r="G1629" s="545" t="s">
        <v>1845</v>
      </c>
      <c r="H1629" s="588">
        <v>0</v>
      </c>
      <c r="I1629" s="545" t="s">
        <v>1845</v>
      </c>
      <c r="J1629" s="15">
        <v>108261000</v>
      </c>
      <c r="K1629" s="99">
        <v>394581000</v>
      </c>
      <c r="L1629" s="13"/>
      <c r="M1629" s="17"/>
      <c r="N1629" s="18"/>
      <c r="O1629" s="18"/>
      <c r="P1629" s="18"/>
      <c r="Q1629" s="17"/>
      <c r="R1629" s="17"/>
      <c r="S1629" s="17"/>
      <c r="T1629" s="17"/>
      <c r="U1629" s="17"/>
      <c r="V1629" s="17"/>
      <c r="W1629" s="17"/>
      <c r="X1629" s="17"/>
      <c r="Y1629" s="53">
        <v>100</v>
      </c>
      <c r="Z1629" s="53">
        <v>95</v>
      </c>
      <c r="AA1629" s="22">
        <v>376155000</v>
      </c>
      <c r="AB1629" s="19">
        <f t="shared" si="510"/>
        <v>95.330236377321768</v>
      </c>
      <c r="AC1629" s="22">
        <f t="shared" si="511"/>
        <v>376155000</v>
      </c>
      <c r="AD1629" s="19">
        <f t="shared" si="512"/>
        <v>95.330236377321768</v>
      </c>
    </row>
    <row r="1630" spans="2:30">
      <c r="B1630" s="13">
        <f t="shared" si="509"/>
        <v>9</v>
      </c>
      <c r="C1630" s="74" t="s">
        <v>600</v>
      </c>
      <c r="D1630" s="74" t="s">
        <v>883</v>
      </c>
      <c r="E1630" s="217"/>
      <c r="F1630" s="568">
        <v>1</v>
      </c>
      <c r="G1630" s="545" t="s">
        <v>1845</v>
      </c>
      <c r="H1630" s="588">
        <v>0</v>
      </c>
      <c r="I1630" s="545" t="s">
        <v>1845</v>
      </c>
      <c r="J1630" s="15">
        <v>352800000</v>
      </c>
      <c r="K1630" s="99">
        <v>352800000</v>
      </c>
      <c r="L1630" s="13"/>
      <c r="M1630" s="17"/>
      <c r="N1630" s="18"/>
      <c r="O1630" s="18"/>
      <c r="P1630" s="18"/>
      <c r="Q1630" s="17"/>
      <c r="R1630" s="17"/>
      <c r="S1630" s="17"/>
      <c r="T1630" s="17"/>
      <c r="U1630" s="17"/>
      <c r="V1630" s="17"/>
      <c r="W1630" s="17"/>
      <c r="X1630" s="17"/>
      <c r="Y1630" s="53">
        <v>100</v>
      </c>
      <c r="Z1630" s="53">
        <v>100</v>
      </c>
      <c r="AA1630" s="22">
        <v>352800000</v>
      </c>
      <c r="AB1630" s="19">
        <f t="shared" si="510"/>
        <v>100</v>
      </c>
      <c r="AC1630" s="22">
        <f t="shared" si="511"/>
        <v>352800000</v>
      </c>
      <c r="AD1630" s="19">
        <f t="shared" si="512"/>
        <v>100</v>
      </c>
    </row>
    <row r="1631" spans="2:30" ht="27">
      <c r="B1631" s="13"/>
      <c r="C1631" s="86" t="s">
        <v>884</v>
      </c>
      <c r="D1631" s="86" t="s">
        <v>885</v>
      </c>
      <c r="E1631" s="219"/>
      <c r="F1631" s="568"/>
      <c r="G1631" s="545"/>
      <c r="H1631" s="588"/>
      <c r="I1631" s="545"/>
      <c r="J1631" s="88"/>
      <c r="K1631" s="16"/>
      <c r="L1631" s="13"/>
      <c r="M1631" s="17"/>
      <c r="N1631" s="218"/>
      <c r="O1631" s="18"/>
      <c r="P1631" s="18"/>
      <c r="Q1631" s="17"/>
      <c r="R1631" s="17"/>
      <c r="S1631" s="17"/>
      <c r="T1631" s="17"/>
      <c r="U1631" s="17"/>
      <c r="V1631" s="17"/>
      <c r="W1631" s="17"/>
      <c r="X1631" s="17"/>
      <c r="Y1631" s="53"/>
      <c r="Z1631" s="53"/>
      <c r="AA1631" s="22"/>
      <c r="AB1631" s="19"/>
      <c r="AC1631" s="22"/>
      <c r="AD1631" s="19"/>
    </row>
    <row r="1632" spans="2:30" ht="27">
      <c r="B1632" s="13">
        <f>B1630+1</f>
        <v>10</v>
      </c>
      <c r="C1632" s="74" t="s">
        <v>375</v>
      </c>
      <c r="D1632" s="74" t="s">
        <v>886</v>
      </c>
      <c r="E1632" s="217"/>
      <c r="F1632" s="568">
        <v>1</v>
      </c>
      <c r="G1632" s="545" t="s">
        <v>1845</v>
      </c>
      <c r="H1632" s="588">
        <v>0</v>
      </c>
      <c r="I1632" s="545" t="s">
        <v>1845</v>
      </c>
      <c r="J1632" s="15">
        <v>11942000</v>
      </c>
      <c r="K1632" s="99">
        <v>11942000</v>
      </c>
      <c r="L1632" s="13"/>
      <c r="M1632" s="17"/>
      <c r="N1632" s="218"/>
      <c r="O1632" s="18"/>
      <c r="P1632" s="18"/>
      <c r="Q1632" s="17"/>
      <c r="R1632" s="17"/>
      <c r="S1632" s="17"/>
      <c r="T1632" s="17"/>
      <c r="U1632" s="17"/>
      <c r="V1632" s="17"/>
      <c r="W1632" s="17"/>
      <c r="X1632" s="17"/>
      <c r="Y1632" s="53">
        <v>100</v>
      </c>
      <c r="Z1632" s="53">
        <v>83</v>
      </c>
      <c r="AA1632" s="22">
        <v>9917000</v>
      </c>
      <c r="AB1632" s="19">
        <f t="shared" si="510"/>
        <v>83.043041366605266</v>
      </c>
      <c r="AC1632" s="22">
        <f t="shared" si="511"/>
        <v>9917000</v>
      </c>
      <c r="AD1632" s="19">
        <f t="shared" si="512"/>
        <v>83.043041366605266</v>
      </c>
    </row>
    <row r="1633" spans="2:30">
      <c r="B1633" s="13">
        <f t="shared" si="509"/>
        <v>11</v>
      </c>
      <c r="C1633" s="74" t="s">
        <v>377</v>
      </c>
      <c r="D1633" s="74" t="s">
        <v>887</v>
      </c>
      <c r="E1633" s="217"/>
      <c r="F1633" s="568">
        <v>1</v>
      </c>
      <c r="G1633" s="545" t="s">
        <v>1845</v>
      </c>
      <c r="H1633" s="588">
        <v>0</v>
      </c>
      <c r="I1633" s="545" t="s">
        <v>1845</v>
      </c>
      <c r="J1633" s="15">
        <v>50375000</v>
      </c>
      <c r="K1633" s="99">
        <v>69227000</v>
      </c>
      <c r="L1633" s="13"/>
      <c r="M1633" s="17"/>
      <c r="N1633" s="218"/>
      <c r="O1633" s="18"/>
      <c r="P1633" s="18"/>
      <c r="Q1633" s="17"/>
      <c r="R1633" s="17"/>
      <c r="S1633" s="17"/>
      <c r="T1633" s="17"/>
      <c r="U1633" s="17"/>
      <c r="V1633" s="17"/>
      <c r="W1633" s="17"/>
      <c r="X1633" s="17"/>
      <c r="Y1633" s="53">
        <v>100</v>
      </c>
      <c r="Z1633" s="53">
        <v>100</v>
      </c>
      <c r="AA1633" s="22">
        <v>69159000</v>
      </c>
      <c r="AB1633" s="19">
        <f t="shared" si="510"/>
        <v>99.901772429832292</v>
      </c>
      <c r="AC1633" s="22">
        <f t="shared" si="511"/>
        <v>69159000</v>
      </c>
      <c r="AD1633" s="19">
        <f t="shared" si="512"/>
        <v>99.901772429832292</v>
      </c>
    </row>
    <row r="1634" spans="2:30" ht="27">
      <c r="B1634" s="13">
        <f t="shared" si="509"/>
        <v>12</v>
      </c>
      <c r="C1634" s="74" t="s">
        <v>614</v>
      </c>
      <c r="D1634" s="74" t="s">
        <v>888</v>
      </c>
      <c r="E1634" s="217"/>
      <c r="F1634" s="568">
        <v>1</v>
      </c>
      <c r="G1634" s="545" t="s">
        <v>1845</v>
      </c>
      <c r="H1634" s="588">
        <v>0</v>
      </c>
      <c r="I1634" s="545" t="s">
        <v>1845</v>
      </c>
      <c r="J1634" s="15">
        <v>19236000</v>
      </c>
      <c r="K1634" s="99">
        <v>19236000</v>
      </c>
      <c r="L1634" s="13"/>
      <c r="M1634" s="17"/>
      <c r="N1634" s="218"/>
      <c r="O1634" s="18"/>
      <c r="P1634" s="18"/>
      <c r="Q1634" s="17"/>
      <c r="R1634" s="17"/>
      <c r="S1634" s="17"/>
      <c r="T1634" s="17"/>
      <c r="U1634" s="17"/>
      <c r="V1634" s="17"/>
      <c r="W1634" s="17"/>
      <c r="X1634" s="17"/>
      <c r="Y1634" s="53">
        <v>100</v>
      </c>
      <c r="Z1634" s="53">
        <v>93</v>
      </c>
      <c r="AA1634" s="22">
        <v>17906000</v>
      </c>
      <c r="AB1634" s="19">
        <f t="shared" si="510"/>
        <v>93.085880640465788</v>
      </c>
      <c r="AC1634" s="22">
        <f t="shared" si="511"/>
        <v>17906000</v>
      </c>
      <c r="AD1634" s="19">
        <f t="shared" si="512"/>
        <v>93.085880640465788</v>
      </c>
    </row>
    <row r="1635" spans="2:30" ht="27">
      <c r="B1635" s="13">
        <f t="shared" si="509"/>
        <v>13</v>
      </c>
      <c r="C1635" s="74" t="s">
        <v>379</v>
      </c>
      <c r="D1635" s="74" t="s">
        <v>889</v>
      </c>
      <c r="E1635" s="217"/>
      <c r="F1635" s="568">
        <v>1</v>
      </c>
      <c r="G1635" s="545" t="s">
        <v>1845</v>
      </c>
      <c r="H1635" s="588">
        <v>0</v>
      </c>
      <c r="I1635" s="545" t="s">
        <v>1845</v>
      </c>
      <c r="J1635" s="15">
        <v>10351000</v>
      </c>
      <c r="K1635" s="99">
        <v>10351000</v>
      </c>
      <c r="L1635" s="13"/>
      <c r="M1635" s="17"/>
      <c r="N1635" s="218"/>
      <c r="O1635" s="18"/>
      <c r="P1635" s="18"/>
      <c r="Q1635" s="17"/>
      <c r="R1635" s="17"/>
      <c r="S1635" s="17"/>
      <c r="T1635" s="17"/>
      <c r="U1635" s="17"/>
      <c r="V1635" s="17"/>
      <c r="W1635" s="17"/>
      <c r="X1635" s="17"/>
      <c r="Y1635" s="53">
        <v>100</v>
      </c>
      <c r="Z1635" s="53">
        <v>100</v>
      </c>
      <c r="AA1635" s="22">
        <v>10351000</v>
      </c>
      <c r="AB1635" s="19">
        <f t="shared" si="510"/>
        <v>100</v>
      </c>
      <c r="AC1635" s="22">
        <f t="shared" si="511"/>
        <v>10351000</v>
      </c>
      <c r="AD1635" s="19">
        <f t="shared" si="512"/>
        <v>100</v>
      </c>
    </row>
    <row r="1636" spans="2:30">
      <c r="B1636" s="13">
        <f t="shared" si="509"/>
        <v>14</v>
      </c>
      <c r="C1636" s="74" t="s">
        <v>655</v>
      </c>
      <c r="D1636" s="74" t="s">
        <v>890</v>
      </c>
      <c r="E1636" s="217"/>
      <c r="F1636" s="568">
        <v>1</v>
      </c>
      <c r="G1636" s="545" t="s">
        <v>1845</v>
      </c>
      <c r="H1636" s="588">
        <v>0</v>
      </c>
      <c r="I1636" s="545" t="s">
        <v>1845</v>
      </c>
      <c r="J1636" s="15">
        <v>7455000</v>
      </c>
      <c r="K1636" s="99">
        <v>7455000</v>
      </c>
      <c r="L1636" s="13"/>
      <c r="M1636" s="17"/>
      <c r="N1636" s="218"/>
      <c r="O1636" s="18"/>
      <c r="P1636" s="18"/>
      <c r="Q1636" s="17"/>
      <c r="R1636" s="17"/>
      <c r="S1636" s="17"/>
      <c r="T1636" s="17"/>
      <c r="U1636" s="17"/>
      <c r="V1636" s="17"/>
      <c r="W1636" s="17"/>
      <c r="X1636" s="17"/>
      <c r="Y1636" s="53">
        <v>100</v>
      </c>
      <c r="Z1636" s="53">
        <v>90</v>
      </c>
      <c r="AA1636" s="22">
        <v>6695000</v>
      </c>
      <c r="AB1636" s="19">
        <f t="shared" si="510"/>
        <v>89.805499664654604</v>
      </c>
      <c r="AC1636" s="22">
        <f t="shared" si="511"/>
        <v>6695000</v>
      </c>
      <c r="AD1636" s="19">
        <f t="shared" si="512"/>
        <v>89.805499664654604</v>
      </c>
    </row>
    <row r="1637" spans="2:30" ht="27">
      <c r="B1637" s="13">
        <f t="shared" si="509"/>
        <v>15</v>
      </c>
      <c r="C1637" s="74" t="s">
        <v>381</v>
      </c>
      <c r="D1637" s="74" t="s">
        <v>891</v>
      </c>
      <c r="E1637" s="217"/>
      <c r="F1637" s="568">
        <v>1</v>
      </c>
      <c r="G1637" s="545" t="s">
        <v>1845</v>
      </c>
      <c r="H1637" s="588">
        <v>0</v>
      </c>
      <c r="I1637" s="545" t="s">
        <v>1845</v>
      </c>
      <c r="J1637" s="15">
        <v>54534000</v>
      </c>
      <c r="K1637" s="99">
        <v>54534000</v>
      </c>
      <c r="L1637" s="13"/>
      <c r="M1637" s="17"/>
      <c r="N1637" s="18"/>
      <c r="O1637" s="18"/>
      <c r="P1637" s="18"/>
      <c r="Q1637" s="17"/>
      <c r="R1637" s="17"/>
      <c r="S1637" s="17"/>
      <c r="T1637" s="17"/>
      <c r="U1637" s="17"/>
      <c r="V1637" s="17"/>
      <c r="W1637" s="17"/>
      <c r="X1637" s="17"/>
      <c r="Y1637" s="53">
        <v>100</v>
      </c>
      <c r="Z1637" s="53">
        <v>99</v>
      </c>
      <c r="AA1637" s="22">
        <v>53723500</v>
      </c>
      <c r="AB1637" s="19">
        <f t="shared" si="510"/>
        <v>98.513771225290654</v>
      </c>
      <c r="AC1637" s="22">
        <f t="shared" si="511"/>
        <v>53723500</v>
      </c>
      <c r="AD1637" s="19">
        <f t="shared" si="512"/>
        <v>98.513771225290654</v>
      </c>
    </row>
    <row r="1638" spans="2:30">
      <c r="B1638" s="13"/>
      <c r="C1638" s="86" t="s">
        <v>892</v>
      </c>
      <c r="D1638" s="86" t="s">
        <v>893</v>
      </c>
      <c r="E1638" s="219"/>
      <c r="F1638" s="568"/>
      <c r="G1638" s="545"/>
      <c r="H1638" s="588"/>
      <c r="I1638" s="545"/>
      <c r="J1638" s="88"/>
      <c r="K1638" s="25"/>
      <c r="L1638" s="13"/>
      <c r="M1638" s="17"/>
      <c r="N1638" s="18"/>
      <c r="O1638" s="18"/>
      <c r="P1638" s="18"/>
      <c r="Q1638" s="17"/>
      <c r="R1638" s="17"/>
      <c r="S1638" s="17"/>
      <c r="T1638" s="17"/>
      <c r="U1638" s="17"/>
      <c r="V1638" s="17"/>
      <c r="W1638" s="17"/>
      <c r="X1638" s="17"/>
      <c r="Y1638" s="53"/>
      <c r="Z1638" s="53"/>
      <c r="AA1638" s="22"/>
      <c r="AB1638" s="19"/>
      <c r="AC1638" s="22"/>
      <c r="AD1638" s="19"/>
    </row>
    <row r="1639" spans="2:30">
      <c r="B1639" s="13">
        <f>B1637+1</f>
        <v>16</v>
      </c>
      <c r="C1639" s="74" t="s">
        <v>238</v>
      </c>
      <c r="D1639" s="74" t="s">
        <v>894</v>
      </c>
      <c r="E1639" s="217"/>
      <c r="F1639" s="568">
        <v>1</v>
      </c>
      <c r="G1639" s="545" t="s">
        <v>1845</v>
      </c>
      <c r="H1639" s="588">
        <v>0</v>
      </c>
      <c r="I1639" s="545" t="s">
        <v>1845</v>
      </c>
      <c r="J1639" s="15">
        <v>10800000</v>
      </c>
      <c r="K1639" s="99">
        <v>10800000</v>
      </c>
      <c r="L1639" s="13"/>
      <c r="M1639" s="17"/>
      <c r="N1639" s="218"/>
      <c r="O1639" s="18"/>
      <c r="P1639" s="18"/>
      <c r="Q1639" s="17"/>
      <c r="R1639" s="17"/>
      <c r="S1639" s="17"/>
      <c r="T1639" s="17"/>
      <c r="U1639" s="17"/>
      <c r="V1639" s="17"/>
      <c r="W1639" s="17"/>
      <c r="X1639" s="17"/>
      <c r="Y1639" s="53">
        <v>100</v>
      </c>
      <c r="Z1639" s="53">
        <v>100</v>
      </c>
      <c r="AA1639" s="22">
        <v>10775000</v>
      </c>
      <c r="AB1639" s="19">
        <f t="shared" si="510"/>
        <v>99.768518518518519</v>
      </c>
      <c r="AC1639" s="22">
        <f t="shared" si="511"/>
        <v>10775000</v>
      </c>
      <c r="AD1639" s="19">
        <f t="shared" si="512"/>
        <v>99.768518518518519</v>
      </c>
    </row>
    <row r="1640" spans="2:30">
      <c r="B1640" s="13">
        <f t="shared" si="509"/>
        <v>17</v>
      </c>
      <c r="C1640" s="74" t="s">
        <v>240</v>
      </c>
      <c r="D1640" s="74" t="s">
        <v>895</v>
      </c>
      <c r="E1640" s="217"/>
      <c r="F1640" s="568">
        <v>1</v>
      </c>
      <c r="G1640" s="545" t="s">
        <v>1845</v>
      </c>
      <c r="H1640" s="588">
        <v>0</v>
      </c>
      <c r="I1640" s="545" t="s">
        <v>1845</v>
      </c>
      <c r="J1640" s="15">
        <v>101097000</v>
      </c>
      <c r="K1640" s="99">
        <v>101097000</v>
      </c>
      <c r="L1640" s="13"/>
      <c r="M1640" s="17"/>
      <c r="N1640" s="18"/>
      <c r="O1640" s="18"/>
      <c r="P1640" s="18"/>
      <c r="Q1640" s="17"/>
      <c r="R1640" s="17"/>
      <c r="S1640" s="17"/>
      <c r="T1640" s="17"/>
      <c r="U1640" s="17"/>
      <c r="V1640" s="17"/>
      <c r="W1640" s="17"/>
      <c r="X1640" s="17"/>
      <c r="Y1640" s="53">
        <v>100</v>
      </c>
      <c r="Z1640" s="53">
        <f t="shared" ref="Z1640:Z1643" si="514">AB1640</f>
        <v>99.089982887721689</v>
      </c>
      <c r="AA1640" s="22">
        <v>100177000</v>
      </c>
      <c r="AB1640" s="19">
        <f t="shared" si="510"/>
        <v>99.089982887721689</v>
      </c>
      <c r="AC1640" s="22">
        <f t="shared" si="511"/>
        <v>100177000</v>
      </c>
      <c r="AD1640" s="19">
        <f t="shared" si="512"/>
        <v>99.089982887721689</v>
      </c>
    </row>
    <row r="1641" spans="2:30">
      <c r="B1641" s="13">
        <f>B1640+1</f>
        <v>18</v>
      </c>
      <c r="C1641" s="81">
        <v>17.004000000000001</v>
      </c>
      <c r="D1641" s="21" t="s">
        <v>896</v>
      </c>
      <c r="E1641" s="220"/>
      <c r="F1641" s="568">
        <v>1</v>
      </c>
      <c r="G1641" s="545" t="s">
        <v>1845</v>
      </c>
      <c r="H1641" s="588">
        <v>0</v>
      </c>
      <c r="I1641" s="545" t="s">
        <v>1845</v>
      </c>
      <c r="J1641" s="15">
        <v>23382000</v>
      </c>
      <c r="K1641" s="99">
        <v>23382000</v>
      </c>
      <c r="L1641" s="45"/>
      <c r="M1641" s="44"/>
      <c r="N1641" s="108"/>
      <c r="O1641" s="108"/>
      <c r="P1641" s="108"/>
      <c r="Q1641" s="44"/>
      <c r="R1641" s="44"/>
      <c r="S1641" s="44"/>
      <c r="T1641" s="44"/>
      <c r="U1641" s="44"/>
      <c r="V1641" s="44"/>
      <c r="W1641" s="44"/>
      <c r="X1641" s="44"/>
      <c r="Y1641" s="53">
        <v>100</v>
      </c>
      <c r="Z1641" s="53">
        <v>86</v>
      </c>
      <c r="AA1641" s="73">
        <v>20155000</v>
      </c>
      <c r="AB1641" s="19">
        <f t="shared" si="510"/>
        <v>86.198785390471301</v>
      </c>
      <c r="AC1641" s="73">
        <f t="shared" si="511"/>
        <v>20155000</v>
      </c>
      <c r="AD1641" s="19">
        <f t="shared" si="512"/>
        <v>86.198785390471301</v>
      </c>
    </row>
    <row r="1642" spans="2:30">
      <c r="B1642" s="13">
        <f t="shared" ref="B1642:B1643" si="515">B1641+1</f>
        <v>19</v>
      </c>
      <c r="C1642" s="81">
        <v>17.004999999999999</v>
      </c>
      <c r="D1642" s="21" t="s">
        <v>897</v>
      </c>
      <c r="E1642" s="220"/>
      <c r="F1642" s="568">
        <v>1</v>
      </c>
      <c r="G1642" s="545" t="s">
        <v>1845</v>
      </c>
      <c r="H1642" s="588">
        <v>0</v>
      </c>
      <c r="I1642" s="545" t="s">
        <v>1845</v>
      </c>
      <c r="J1642" s="15">
        <v>467582000</v>
      </c>
      <c r="K1642" s="99">
        <v>467582000</v>
      </c>
      <c r="L1642" s="45"/>
      <c r="M1642" s="44"/>
      <c r="N1642" s="108"/>
      <c r="O1642" s="108"/>
      <c r="P1642" s="108"/>
      <c r="Q1642" s="44"/>
      <c r="R1642" s="44"/>
      <c r="S1642" s="44"/>
      <c r="T1642" s="44"/>
      <c r="U1642" s="44"/>
      <c r="V1642" s="44"/>
      <c r="W1642" s="44"/>
      <c r="X1642" s="44"/>
      <c r="Y1642" s="53">
        <v>100</v>
      </c>
      <c r="Z1642" s="53">
        <v>99</v>
      </c>
      <c r="AA1642" s="73">
        <v>462431500</v>
      </c>
      <c r="AB1642" s="19">
        <f t="shared" si="510"/>
        <v>98.898481977492708</v>
      </c>
      <c r="AC1642" s="73">
        <f t="shared" si="511"/>
        <v>462431500</v>
      </c>
      <c r="AD1642" s="19">
        <f t="shared" si="512"/>
        <v>98.898481977492708</v>
      </c>
    </row>
    <row r="1643" spans="2:30">
      <c r="B1643" s="13">
        <f t="shared" si="515"/>
        <v>20</v>
      </c>
      <c r="C1643" s="81">
        <v>17.006</v>
      </c>
      <c r="D1643" s="21" t="s">
        <v>898</v>
      </c>
      <c r="E1643" s="220"/>
      <c r="F1643" s="568">
        <v>1</v>
      </c>
      <c r="G1643" s="545" t="s">
        <v>1845</v>
      </c>
      <c r="H1643" s="588">
        <v>0</v>
      </c>
      <c r="I1643" s="545" t="s">
        <v>1845</v>
      </c>
      <c r="J1643" s="15">
        <v>150000000</v>
      </c>
      <c r="K1643" s="99">
        <v>0</v>
      </c>
      <c r="L1643" s="45"/>
      <c r="M1643" s="44"/>
      <c r="N1643" s="108"/>
      <c r="O1643" s="108"/>
      <c r="P1643" s="108"/>
      <c r="Q1643" s="44"/>
      <c r="R1643" s="44"/>
      <c r="S1643" s="44"/>
      <c r="T1643" s="44"/>
      <c r="U1643" s="44"/>
      <c r="V1643" s="44"/>
      <c r="W1643" s="44"/>
      <c r="X1643" s="44"/>
      <c r="Y1643" s="53">
        <v>100</v>
      </c>
      <c r="Z1643" s="53">
        <f t="shared" si="514"/>
        <v>0</v>
      </c>
      <c r="AA1643" s="73">
        <v>0</v>
      </c>
      <c r="AB1643" s="19"/>
      <c r="AC1643" s="73">
        <f>AA1643</f>
        <v>0</v>
      </c>
      <c r="AD1643" s="19"/>
    </row>
    <row r="1644" spans="2:30" ht="30" customHeight="1">
      <c r="B1644" s="45"/>
      <c r="C1644" s="86" t="s">
        <v>899</v>
      </c>
      <c r="D1644" s="86" t="s">
        <v>900</v>
      </c>
      <c r="E1644" s="220"/>
      <c r="F1644" s="568"/>
      <c r="G1644" s="545"/>
      <c r="H1644" s="588"/>
      <c r="I1644" s="545"/>
      <c r="J1644" s="221"/>
      <c r="K1644" s="40"/>
      <c r="L1644" s="45"/>
      <c r="M1644" s="44"/>
      <c r="N1644" s="108"/>
      <c r="O1644" s="108"/>
      <c r="P1644" s="108"/>
      <c r="Q1644" s="44"/>
      <c r="R1644" s="44"/>
      <c r="S1644" s="44"/>
      <c r="T1644" s="44"/>
      <c r="U1644" s="44"/>
      <c r="V1644" s="44"/>
      <c r="W1644" s="44"/>
      <c r="X1644" s="44"/>
      <c r="Y1644" s="53"/>
      <c r="Z1644" s="53"/>
      <c r="AA1644" s="73"/>
      <c r="AB1644" s="19"/>
      <c r="AC1644" s="73"/>
      <c r="AD1644" s="19"/>
    </row>
    <row r="1645" spans="2:30" ht="25.5">
      <c r="B1645" s="45">
        <f>B1643+1</f>
        <v>21</v>
      </c>
      <c r="C1645" s="116">
        <v>19.004999999999999</v>
      </c>
      <c r="D1645" s="21" t="s">
        <v>901</v>
      </c>
      <c r="E1645" s="220"/>
      <c r="F1645" s="568">
        <v>1</v>
      </c>
      <c r="G1645" s="558" t="s">
        <v>1845</v>
      </c>
      <c r="H1645" s="588">
        <v>0</v>
      </c>
      <c r="I1645" s="558" t="s">
        <v>1845</v>
      </c>
      <c r="J1645" s="15">
        <v>20000000</v>
      </c>
      <c r="K1645" s="99">
        <v>20000000</v>
      </c>
      <c r="L1645" s="45"/>
      <c r="M1645" s="44" t="s">
        <v>1</v>
      </c>
      <c r="N1645" s="222"/>
      <c r="O1645" s="108"/>
      <c r="P1645" s="108"/>
      <c r="Q1645" s="44"/>
      <c r="R1645" s="44"/>
      <c r="S1645" s="44"/>
      <c r="T1645" s="44"/>
      <c r="U1645" s="44"/>
      <c r="V1645" s="44"/>
      <c r="W1645" s="44"/>
      <c r="X1645" s="44"/>
      <c r="Y1645" s="53">
        <v>100</v>
      </c>
      <c r="Z1645" s="53">
        <v>99</v>
      </c>
      <c r="AA1645" s="73">
        <v>19826250</v>
      </c>
      <c r="AB1645" s="19">
        <f t="shared" si="510"/>
        <v>99.131250000000009</v>
      </c>
      <c r="AC1645" s="73">
        <f t="shared" si="511"/>
        <v>19826250</v>
      </c>
      <c r="AD1645" s="19">
        <f t="shared" si="512"/>
        <v>99.131250000000009</v>
      </c>
    </row>
    <row r="1646" spans="2:30">
      <c r="B1646" s="37">
        <v>129</v>
      </c>
      <c r="C1646" s="847" t="s">
        <v>902</v>
      </c>
      <c r="D1646" s="873"/>
      <c r="E1646" s="532"/>
      <c r="F1646" s="532">
        <v>20</v>
      </c>
      <c r="G1646" s="570" t="s">
        <v>1845</v>
      </c>
      <c r="H1646" s="589">
        <f>SUM(H1621:H1645)</f>
        <v>0</v>
      </c>
      <c r="I1646" s="570" t="s">
        <v>1845</v>
      </c>
      <c r="J1646" s="223">
        <f>SUM(J1621:J1645)</f>
        <v>2057857000</v>
      </c>
      <c r="K1646" s="223">
        <f>SUM(K1621:K1645)</f>
        <v>2388159000</v>
      </c>
      <c r="L1646" s="295"/>
      <c r="M1646" s="28"/>
      <c r="N1646" s="28"/>
      <c r="O1646" s="28"/>
      <c r="P1646" s="28"/>
      <c r="Q1646" s="28"/>
      <c r="R1646" s="28"/>
      <c r="S1646" s="465" t="s">
        <v>1458</v>
      </c>
      <c r="T1646" s="539" t="s">
        <v>1459</v>
      </c>
      <c r="U1646" s="539" t="s">
        <v>1459</v>
      </c>
      <c r="V1646" s="539" t="s">
        <v>1459</v>
      </c>
      <c r="W1646" s="539" t="s">
        <v>1459</v>
      </c>
      <c r="X1646" s="539"/>
      <c r="Y1646" s="68">
        <f>SUM(Y1621:Y1645)/21</f>
        <v>100</v>
      </c>
      <c r="Z1646" s="84">
        <f>SUM(Z1621:Z1645)/21</f>
        <v>90.961796396166477</v>
      </c>
      <c r="AA1646" s="68">
        <f>SUM(AA1621:AA1645)</f>
        <v>2286916362</v>
      </c>
      <c r="AB1646" s="84">
        <f>SUM(AB1621:AB1645)/21</f>
        <v>90.922327790291575</v>
      </c>
      <c r="AC1646" s="68">
        <f>SUM(AC1621:AC1645)</f>
        <v>2286916362</v>
      </c>
      <c r="AD1646" s="84">
        <f>SUM(AD1621:AD1645)/21</f>
        <v>90.922327790291575</v>
      </c>
    </row>
    <row r="1647" spans="2:30">
      <c r="B1647" s="66"/>
      <c r="C1647" s="224" t="s">
        <v>903</v>
      </c>
      <c r="D1647" s="225" t="s">
        <v>904</v>
      </c>
      <c r="E1647" s="533"/>
      <c r="F1647" s="563">
        <v>20</v>
      </c>
      <c r="G1647" s="535" t="s">
        <v>1845</v>
      </c>
      <c r="H1647" s="563">
        <v>0</v>
      </c>
      <c r="I1647" s="535" t="s">
        <v>1845</v>
      </c>
      <c r="J1647" s="226"/>
      <c r="K1647" s="65"/>
      <c r="L1647" s="66"/>
      <c r="M1647" s="63"/>
      <c r="N1647" s="63"/>
      <c r="O1647" s="63"/>
      <c r="P1647" s="63"/>
      <c r="Q1647" s="63"/>
      <c r="R1647" s="63"/>
      <c r="S1647" s="63" t="s">
        <v>1458</v>
      </c>
      <c r="T1647" s="538" t="s">
        <v>1459</v>
      </c>
      <c r="U1647" s="538" t="s">
        <v>1459</v>
      </c>
      <c r="V1647" s="538" t="s">
        <v>1459</v>
      </c>
      <c r="W1647" s="538" t="s">
        <v>1459</v>
      </c>
      <c r="X1647" s="538"/>
      <c r="Y1647" s="785"/>
      <c r="Z1647" s="136"/>
      <c r="AA1647" s="135"/>
      <c r="AB1647" s="134"/>
      <c r="AC1647" s="137"/>
      <c r="AD1647" s="786"/>
    </row>
    <row r="1648" spans="2:30" ht="27">
      <c r="B1648" s="13"/>
      <c r="C1648" s="86" t="s">
        <v>877</v>
      </c>
      <c r="D1648" s="86" t="s">
        <v>26</v>
      </c>
      <c r="E1648" s="490"/>
      <c r="F1648" s="490"/>
      <c r="G1648" s="477"/>
      <c r="H1648" s="219"/>
      <c r="I1648" s="219"/>
      <c r="J1648" s="88"/>
      <c r="K1648" s="88"/>
      <c r="L1648" s="13"/>
      <c r="M1648" s="17"/>
      <c r="N1648" s="17"/>
      <c r="O1648" s="17"/>
      <c r="P1648" s="17"/>
      <c r="Q1648" s="17"/>
      <c r="R1648" s="17"/>
      <c r="S1648" s="17"/>
      <c r="T1648" s="17"/>
      <c r="U1648" s="17"/>
      <c r="V1648" s="17"/>
      <c r="W1648" s="17"/>
      <c r="X1648" s="17"/>
      <c r="Y1648" s="214"/>
      <c r="Z1648" s="98"/>
      <c r="AA1648" s="215"/>
      <c r="AB1648" s="19"/>
      <c r="AC1648" s="20"/>
      <c r="AD1648" s="149"/>
    </row>
    <row r="1649" spans="2:30">
      <c r="B1649" s="13">
        <v>1</v>
      </c>
      <c r="C1649" s="74" t="s">
        <v>203</v>
      </c>
      <c r="D1649" s="74" t="s">
        <v>28</v>
      </c>
      <c r="E1649" s="534"/>
      <c r="F1649" s="544">
        <v>1</v>
      </c>
      <c r="G1649" s="59" t="s">
        <v>1845</v>
      </c>
      <c r="H1649" s="586">
        <v>0</v>
      </c>
      <c r="I1649" s="389" t="s">
        <v>1845</v>
      </c>
      <c r="J1649" s="15">
        <v>120941000</v>
      </c>
      <c r="K1649" s="25">
        <v>304816000</v>
      </c>
      <c r="L1649" s="13"/>
      <c r="M1649" s="17"/>
      <c r="N1649" s="17"/>
      <c r="O1649" s="17"/>
      <c r="P1649" s="17"/>
      <c r="Q1649" s="17"/>
      <c r="R1649" s="17"/>
      <c r="S1649" s="17"/>
      <c r="T1649" s="17"/>
      <c r="U1649" s="17"/>
      <c r="V1649" s="17"/>
      <c r="W1649" s="17"/>
      <c r="X1649" s="17"/>
      <c r="Y1649" s="53">
        <f>AB1649</f>
        <v>83.724087646317784</v>
      </c>
      <c r="Z1649" s="83">
        <f>AD1649</f>
        <v>83.724087646317784</v>
      </c>
      <c r="AA1649" s="22">
        <v>255204415</v>
      </c>
      <c r="AB1649" s="19">
        <f>AA1649/K1649*100</f>
        <v>83.724087646317784</v>
      </c>
      <c r="AC1649" s="22">
        <f>AA1649</f>
        <v>255204415</v>
      </c>
      <c r="AD1649" s="19">
        <f>AC1649/K1649*100</f>
        <v>83.724087646317784</v>
      </c>
    </row>
    <row r="1650" spans="2:30">
      <c r="B1650" s="13">
        <f>B1649+1</f>
        <v>2</v>
      </c>
      <c r="C1650" s="74" t="s">
        <v>210</v>
      </c>
      <c r="D1650" s="74" t="s">
        <v>30</v>
      </c>
      <c r="E1650" s="534"/>
      <c r="F1650" s="544">
        <v>1</v>
      </c>
      <c r="G1650" s="59" t="s">
        <v>1845</v>
      </c>
      <c r="H1650" s="586">
        <v>0</v>
      </c>
      <c r="I1650" s="389" t="s">
        <v>1845</v>
      </c>
      <c r="J1650" s="15">
        <v>148305000</v>
      </c>
      <c r="K1650" s="25">
        <v>168305000</v>
      </c>
      <c r="L1650" s="13"/>
      <c r="M1650" s="17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53">
        <f t="shared" ref="Y1650:Y1652" si="516">AB1650</f>
        <v>99.945801966667659</v>
      </c>
      <c r="Z1650" s="83">
        <f>AD1650</f>
        <v>99.945801966667659</v>
      </c>
      <c r="AA1650" s="22">
        <v>168213782</v>
      </c>
      <c r="AB1650" s="19">
        <f t="shared" ref="AB1650:AB1672" si="517">AA1650/K1650*100</f>
        <v>99.945801966667659</v>
      </c>
      <c r="AC1650" s="22">
        <f t="shared" ref="AC1650:AC1672" si="518">AA1650</f>
        <v>168213782</v>
      </c>
      <c r="AD1650" s="19">
        <f t="shared" ref="AD1650:AD1672" si="519">AC1650/K1650*100</f>
        <v>99.945801966667659</v>
      </c>
    </row>
    <row r="1651" spans="2:30">
      <c r="B1651" s="13">
        <f t="shared" ref="B1651:B1672" si="520">B1650+1</f>
        <v>3</v>
      </c>
      <c r="C1651" s="74" t="s">
        <v>204</v>
      </c>
      <c r="D1651" s="74" t="s">
        <v>32</v>
      </c>
      <c r="E1651" s="534"/>
      <c r="F1651" s="544">
        <v>1</v>
      </c>
      <c r="G1651" s="59" t="s">
        <v>1845</v>
      </c>
      <c r="H1651" s="586">
        <v>0</v>
      </c>
      <c r="I1651" s="389" t="s">
        <v>1845</v>
      </c>
      <c r="J1651" s="15">
        <v>320528000</v>
      </c>
      <c r="K1651" s="25">
        <v>405763000</v>
      </c>
      <c r="L1651" s="13"/>
      <c r="M1651" s="17"/>
      <c r="N1651" s="17"/>
      <c r="O1651" s="17"/>
      <c r="P1651" s="17"/>
      <c r="Q1651" s="17"/>
      <c r="R1651" s="17"/>
      <c r="S1651" s="17"/>
      <c r="T1651" s="17"/>
      <c r="U1651" s="17"/>
      <c r="V1651" s="17"/>
      <c r="W1651" s="17"/>
      <c r="X1651" s="17"/>
      <c r="Y1651" s="53">
        <f t="shared" si="516"/>
        <v>71.358027962135523</v>
      </c>
      <c r="Z1651" s="53">
        <f>AD1651</f>
        <v>71.358027962135523</v>
      </c>
      <c r="AA1651" s="22">
        <v>289544475</v>
      </c>
      <c r="AB1651" s="19">
        <f t="shared" si="517"/>
        <v>71.358027962135523</v>
      </c>
      <c r="AC1651" s="22">
        <f t="shared" si="518"/>
        <v>289544475</v>
      </c>
      <c r="AD1651" s="19">
        <f t="shared" si="519"/>
        <v>71.358027962135523</v>
      </c>
    </row>
    <row r="1652" spans="2:30">
      <c r="B1652" s="13">
        <f t="shared" si="520"/>
        <v>4</v>
      </c>
      <c r="C1652" s="74" t="s">
        <v>205</v>
      </c>
      <c r="D1652" s="74" t="s">
        <v>34</v>
      </c>
      <c r="E1652" s="534"/>
      <c r="F1652" s="544">
        <v>1</v>
      </c>
      <c r="G1652" s="59" t="s">
        <v>1845</v>
      </c>
      <c r="H1652" s="586">
        <v>0</v>
      </c>
      <c r="I1652" s="389" t="s">
        <v>1845</v>
      </c>
      <c r="J1652" s="15">
        <v>43270000</v>
      </c>
      <c r="K1652" s="25">
        <v>58343000</v>
      </c>
      <c r="L1652" s="13"/>
      <c r="M1652" s="17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53">
        <f t="shared" si="516"/>
        <v>99.666628387295816</v>
      </c>
      <c r="Z1652" s="53">
        <f>AD1652</f>
        <v>99.666628387295816</v>
      </c>
      <c r="AA1652" s="22">
        <v>58148501</v>
      </c>
      <c r="AB1652" s="19">
        <f t="shared" si="517"/>
        <v>99.666628387295816</v>
      </c>
      <c r="AC1652" s="22">
        <f t="shared" si="518"/>
        <v>58148501</v>
      </c>
      <c r="AD1652" s="19">
        <f t="shared" si="519"/>
        <v>99.666628387295816</v>
      </c>
    </row>
    <row r="1653" spans="2:30" ht="27">
      <c r="B1653" s="13">
        <f t="shared" si="520"/>
        <v>5</v>
      </c>
      <c r="C1653" s="74" t="s">
        <v>637</v>
      </c>
      <c r="D1653" s="74" t="s">
        <v>638</v>
      </c>
      <c r="E1653" s="534"/>
      <c r="F1653" s="544">
        <v>1</v>
      </c>
      <c r="G1653" s="59" t="s">
        <v>1845</v>
      </c>
      <c r="H1653" s="586">
        <v>0</v>
      </c>
      <c r="I1653" s="389" t="s">
        <v>1845</v>
      </c>
      <c r="J1653" s="15">
        <v>42770000</v>
      </c>
      <c r="K1653" s="25">
        <v>138375000</v>
      </c>
      <c r="L1653" s="13"/>
      <c r="M1653" s="17"/>
      <c r="N1653" s="17"/>
      <c r="O1653" s="17"/>
      <c r="P1653" s="17"/>
      <c r="Q1653" s="17"/>
      <c r="R1653" s="17"/>
      <c r="S1653" s="17"/>
      <c r="T1653" s="17"/>
      <c r="U1653" s="17"/>
      <c r="V1653" s="17"/>
      <c r="W1653" s="17"/>
      <c r="X1653" s="17"/>
      <c r="Y1653" s="53">
        <f t="shared" ref="Y1653:Y1671" si="521">AB1653</f>
        <v>98.337127371273709</v>
      </c>
      <c r="Z1653" s="53">
        <f t="shared" ref="Z1653:Z1671" si="522">AD1653</f>
        <v>98.337127371273709</v>
      </c>
      <c r="AA1653" s="22">
        <v>136074000</v>
      </c>
      <c r="AB1653" s="19">
        <f t="shared" si="517"/>
        <v>98.337127371273709</v>
      </c>
      <c r="AC1653" s="22">
        <f t="shared" si="518"/>
        <v>136074000</v>
      </c>
      <c r="AD1653" s="19">
        <f t="shared" si="519"/>
        <v>98.337127371273709</v>
      </c>
    </row>
    <row r="1654" spans="2:30">
      <c r="B1654" s="13">
        <f t="shared" si="520"/>
        <v>6</v>
      </c>
      <c r="C1654" s="74" t="s">
        <v>215</v>
      </c>
      <c r="D1654" s="74" t="s">
        <v>36</v>
      </c>
      <c r="E1654" s="534"/>
      <c r="F1654" s="544">
        <v>1</v>
      </c>
      <c r="G1654" s="59" t="s">
        <v>1845</v>
      </c>
      <c r="H1654" s="586">
        <v>0</v>
      </c>
      <c r="I1654" s="389" t="s">
        <v>1845</v>
      </c>
      <c r="J1654" s="15">
        <v>20000000</v>
      </c>
      <c r="K1654" s="25">
        <v>120000000</v>
      </c>
      <c r="L1654" s="13"/>
      <c r="M1654" s="17"/>
      <c r="N1654" s="17"/>
      <c r="O1654" s="17"/>
      <c r="P1654" s="17"/>
      <c r="Q1654" s="17"/>
      <c r="R1654" s="17"/>
      <c r="S1654" s="17"/>
      <c r="T1654" s="17"/>
      <c r="U1654" s="17"/>
      <c r="V1654" s="17"/>
      <c r="W1654" s="17"/>
      <c r="X1654" s="17"/>
      <c r="Y1654" s="53">
        <f t="shared" si="521"/>
        <v>28.19125</v>
      </c>
      <c r="Z1654" s="53">
        <f t="shared" si="522"/>
        <v>28.19125</v>
      </c>
      <c r="AA1654" s="22">
        <v>33829500</v>
      </c>
      <c r="AB1654" s="19">
        <f t="shared" si="517"/>
        <v>28.19125</v>
      </c>
      <c r="AC1654" s="22">
        <f t="shared" si="518"/>
        <v>33829500</v>
      </c>
      <c r="AD1654" s="19">
        <f t="shared" si="519"/>
        <v>28.19125</v>
      </c>
    </row>
    <row r="1655" spans="2:30" ht="25.5">
      <c r="B1655" s="13">
        <f t="shared" si="520"/>
        <v>7</v>
      </c>
      <c r="C1655" s="74" t="s">
        <v>216</v>
      </c>
      <c r="D1655" s="21" t="s">
        <v>38</v>
      </c>
      <c r="E1655" s="534"/>
      <c r="F1655" s="544">
        <v>1</v>
      </c>
      <c r="G1655" s="59" t="s">
        <v>1845</v>
      </c>
      <c r="H1655" s="586">
        <v>0</v>
      </c>
      <c r="I1655" s="389" t="s">
        <v>1845</v>
      </c>
      <c r="J1655" s="15">
        <v>8000000</v>
      </c>
      <c r="K1655" s="25">
        <v>8000000</v>
      </c>
      <c r="L1655" s="13"/>
      <c r="M1655" s="17"/>
      <c r="N1655" s="17"/>
      <c r="O1655" s="17"/>
      <c r="P1655" s="17"/>
      <c r="Q1655" s="17"/>
      <c r="R1655" s="17"/>
      <c r="S1655" s="17"/>
      <c r="T1655" s="17"/>
      <c r="U1655" s="17"/>
      <c r="V1655" s="17"/>
      <c r="W1655" s="17"/>
      <c r="X1655" s="17"/>
      <c r="Y1655" s="53">
        <f t="shared" si="521"/>
        <v>97.25</v>
      </c>
      <c r="Z1655" s="53">
        <f t="shared" si="522"/>
        <v>97.25</v>
      </c>
      <c r="AA1655" s="22">
        <v>7780000</v>
      </c>
      <c r="AB1655" s="19">
        <f t="shared" si="517"/>
        <v>97.25</v>
      </c>
      <c r="AC1655" s="22">
        <f t="shared" si="518"/>
        <v>7780000</v>
      </c>
      <c r="AD1655" s="19">
        <f t="shared" si="519"/>
        <v>97.25</v>
      </c>
    </row>
    <row r="1656" spans="2:30" ht="27">
      <c r="B1656" s="13"/>
      <c r="C1656" s="86" t="s">
        <v>879</v>
      </c>
      <c r="D1656" s="86" t="s">
        <v>880</v>
      </c>
      <c r="E1656" s="490"/>
      <c r="F1656" s="544"/>
      <c r="G1656" s="59"/>
      <c r="H1656" s="586"/>
      <c r="I1656" s="389"/>
      <c r="J1656" s="88"/>
      <c r="K1656" s="88"/>
      <c r="L1656" s="13"/>
      <c r="M1656" s="17"/>
      <c r="N1656" s="17"/>
      <c r="O1656" s="17"/>
      <c r="P1656" s="17"/>
      <c r="Q1656" s="17"/>
      <c r="R1656" s="17"/>
      <c r="S1656" s="17"/>
      <c r="T1656" s="17"/>
      <c r="U1656" s="17"/>
      <c r="V1656" s="17"/>
      <c r="W1656" s="17"/>
      <c r="X1656" s="17"/>
      <c r="Y1656" s="53"/>
      <c r="Z1656" s="53"/>
      <c r="AA1656" s="22"/>
      <c r="AB1656" s="19"/>
      <c r="AC1656" s="22"/>
      <c r="AD1656" s="19"/>
    </row>
    <row r="1657" spans="2:30" ht="27">
      <c r="B1657" s="13">
        <v>8</v>
      </c>
      <c r="C1657" s="74" t="s">
        <v>564</v>
      </c>
      <c r="D1657" s="74" t="s">
        <v>905</v>
      </c>
      <c r="E1657" s="534"/>
      <c r="F1657" s="544">
        <v>1</v>
      </c>
      <c r="G1657" s="59" t="s">
        <v>1845</v>
      </c>
      <c r="H1657" s="586">
        <v>0</v>
      </c>
      <c r="I1657" s="389" t="s">
        <v>1845</v>
      </c>
      <c r="J1657" s="15">
        <v>27970000</v>
      </c>
      <c r="K1657" s="25">
        <v>33270000</v>
      </c>
      <c r="L1657" s="13"/>
      <c r="M1657" s="17"/>
      <c r="N1657" s="17"/>
      <c r="O1657" s="17"/>
      <c r="P1657" s="17"/>
      <c r="Q1657" s="17"/>
      <c r="R1657" s="17"/>
      <c r="S1657" s="17"/>
      <c r="T1657" s="17"/>
      <c r="U1657" s="17"/>
      <c r="V1657" s="17"/>
      <c r="W1657" s="17"/>
      <c r="X1657" s="17"/>
      <c r="Y1657" s="53">
        <f t="shared" si="521"/>
        <v>89.810640216411187</v>
      </c>
      <c r="Z1657" s="53">
        <f t="shared" si="522"/>
        <v>89.810640216411187</v>
      </c>
      <c r="AA1657" s="22">
        <v>29880000</v>
      </c>
      <c r="AB1657" s="19">
        <f t="shared" si="517"/>
        <v>89.810640216411187</v>
      </c>
      <c r="AC1657" s="22">
        <f t="shared" si="518"/>
        <v>29880000</v>
      </c>
      <c r="AD1657" s="19">
        <f t="shared" si="519"/>
        <v>89.810640216411187</v>
      </c>
    </row>
    <row r="1658" spans="2:30" ht="27">
      <c r="B1658" s="13">
        <f t="shared" si="520"/>
        <v>9</v>
      </c>
      <c r="C1658" s="74" t="s">
        <v>644</v>
      </c>
      <c r="D1658" s="74" t="s">
        <v>906</v>
      </c>
      <c r="E1658" s="534"/>
      <c r="F1658" s="544">
        <v>1</v>
      </c>
      <c r="G1658" s="59" t="s">
        <v>1845</v>
      </c>
      <c r="H1658" s="586">
        <v>0</v>
      </c>
      <c r="I1658" s="389" t="s">
        <v>1845</v>
      </c>
      <c r="J1658" s="15">
        <v>8682000</v>
      </c>
      <c r="K1658" s="25">
        <v>12042000</v>
      </c>
      <c r="L1658" s="13"/>
      <c r="M1658" s="17"/>
      <c r="N1658" s="17"/>
      <c r="O1658" s="17"/>
      <c r="P1658" s="17"/>
      <c r="Q1658" s="17"/>
      <c r="R1658" s="17"/>
      <c r="S1658" s="17"/>
      <c r="T1658" s="17"/>
      <c r="U1658" s="17"/>
      <c r="V1658" s="17"/>
      <c r="W1658" s="17"/>
      <c r="X1658" s="17"/>
      <c r="Y1658" s="53">
        <f t="shared" si="521"/>
        <v>100</v>
      </c>
      <c r="Z1658" s="53">
        <f t="shared" si="522"/>
        <v>100</v>
      </c>
      <c r="AA1658" s="22">
        <v>12042000</v>
      </c>
      <c r="AB1658" s="19">
        <f t="shared" si="517"/>
        <v>100</v>
      </c>
      <c r="AC1658" s="22">
        <f t="shared" si="518"/>
        <v>12042000</v>
      </c>
      <c r="AD1658" s="19">
        <f t="shared" si="519"/>
        <v>100</v>
      </c>
    </row>
    <row r="1659" spans="2:30" ht="27">
      <c r="B1659" s="13">
        <f t="shared" si="520"/>
        <v>10</v>
      </c>
      <c r="C1659" s="74" t="s">
        <v>664</v>
      </c>
      <c r="D1659" s="74" t="s">
        <v>907</v>
      </c>
      <c r="E1659" s="534"/>
      <c r="F1659" s="544">
        <v>1</v>
      </c>
      <c r="G1659" s="59" t="s">
        <v>1845</v>
      </c>
      <c r="H1659" s="586">
        <v>0</v>
      </c>
      <c r="I1659" s="389" t="s">
        <v>1845</v>
      </c>
      <c r="J1659" s="15">
        <v>31055000</v>
      </c>
      <c r="K1659" s="25">
        <v>62110000</v>
      </c>
      <c r="L1659" s="13"/>
      <c r="M1659" s="17"/>
      <c r="N1659" s="17"/>
      <c r="O1659" s="17"/>
      <c r="P1659" s="17"/>
      <c r="Q1659" s="17"/>
      <c r="R1659" s="17"/>
      <c r="S1659" s="17"/>
      <c r="T1659" s="17"/>
      <c r="U1659" s="17"/>
      <c r="V1659" s="17"/>
      <c r="W1659" s="17"/>
      <c r="X1659" s="17"/>
      <c r="Y1659" s="53">
        <f t="shared" si="521"/>
        <v>99.677990661729183</v>
      </c>
      <c r="Z1659" s="53">
        <f t="shared" si="522"/>
        <v>99.677990661729183</v>
      </c>
      <c r="AA1659" s="22">
        <v>61910000</v>
      </c>
      <c r="AB1659" s="19">
        <f t="shared" si="517"/>
        <v>99.677990661729183</v>
      </c>
      <c r="AC1659" s="22">
        <f t="shared" si="518"/>
        <v>61910000</v>
      </c>
      <c r="AD1659" s="19">
        <f t="shared" si="519"/>
        <v>99.677990661729183</v>
      </c>
    </row>
    <row r="1660" spans="2:30">
      <c r="B1660" s="13">
        <f>B1659+1</f>
        <v>11</v>
      </c>
      <c r="C1660" s="74" t="s">
        <v>604</v>
      </c>
      <c r="D1660" s="74" t="s">
        <v>908</v>
      </c>
      <c r="E1660" s="534"/>
      <c r="F1660" s="544">
        <v>1</v>
      </c>
      <c r="G1660" s="59" t="s">
        <v>1845</v>
      </c>
      <c r="H1660" s="586">
        <v>0</v>
      </c>
      <c r="I1660" s="389" t="s">
        <v>1845</v>
      </c>
      <c r="J1660" s="15">
        <v>9279000</v>
      </c>
      <c r="K1660" s="25">
        <v>11055000</v>
      </c>
      <c r="L1660" s="13"/>
      <c r="M1660" s="17"/>
      <c r="N1660" s="17"/>
      <c r="O1660" s="17"/>
      <c r="P1660" s="17"/>
      <c r="Q1660" s="17"/>
      <c r="R1660" s="17"/>
      <c r="S1660" s="17"/>
      <c r="T1660" s="17"/>
      <c r="U1660" s="17"/>
      <c r="V1660" s="17"/>
      <c r="W1660" s="17"/>
      <c r="X1660" s="17"/>
      <c r="Y1660" s="53">
        <f t="shared" si="521"/>
        <v>96.598824061510626</v>
      </c>
      <c r="Z1660" s="53">
        <f t="shared" si="522"/>
        <v>96.598824061510626</v>
      </c>
      <c r="AA1660" s="22">
        <v>10679000</v>
      </c>
      <c r="AB1660" s="19">
        <f t="shared" si="517"/>
        <v>96.598824061510626</v>
      </c>
      <c r="AC1660" s="22">
        <f t="shared" si="518"/>
        <v>10679000</v>
      </c>
      <c r="AD1660" s="19">
        <f t="shared" si="519"/>
        <v>96.598824061510626</v>
      </c>
    </row>
    <row r="1661" spans="2:30">
      <c r="B1661" s="13">
        <f t="shared" si="520"/>
        <v>12</v>
      </c>
      <c r="C1661" s="74" t="s">
        <v>568</v>
      </c>
      <c r="D1661" s="21" t="s">
        <v>909</v>
      </c>
      <c r="E1661" s="534"/>
      <c r="F1661" s="544">
        <v>1</v>
      </c>
      <c r="G1661" s="59" t="s">
        <v>1845</v>
      </c>
      <c r="H1661" s="586">
        <v>0</v>
      </c>
      <c r="I1661" s="389" t="s">
        <v>1845</v>
      </c>
      <c r="J1661" s="15">
        <v>30710000</v>
      </c>
      <c r="K1661" s="25">
        <v>30710000</v>
      </c>
      <c r="L1661" s="13"/>
      <c r="M1661" s="17"/>
      <c r="N1661" s="17"/>
      <c r="O1661" s="17"/>
      <c r="P1661" s="17"/>
      <c r="Q1661" s="17"/>
      <c r="R1661" s="17"/>
      <c r="S1661" s="17"/>
      <c r="T1661" s="17"/>
      <c r="U1661" s="17"/>
      <c r="V1661" s="17"/>
      <c r="W1661" s="17"/>
      <c r="X1661" s="17"/>
      <c r="Y1661" s="53">
        <f t="shared" si="521"/>
        <v>100</v>
      </c>
      <c r="Z1661" s="53">
        <f t="shared" si="522"/>
        <v>100</v>
      </c>
      <c r="AA1661" s="22">
        <v>30710000</v>
      </c>
      <c r="AB1661" s="19">
        <f t="shared" si="517"/>
        <v>100</v>
      </c>
      <c r="AC1661" s="22">
        <f t="shared" si="518"/>
        <v>30710000</v>
      </c>
      <c r="AD1661" s="19">
        <f t="shared" si="519"/>
        <v>100</v>
      </c>
    </row>
    <row r="1662" spans="2:30" ht="25.5">
      <c r="B1662" s="13">
        <f t="shared" si="520"/>
        <v>13</v>
      </c>
      <c r="C1662" s="74" t="s">
        <v>910</v>
      </c>
      <c r="D1662" s="21" t="s">
        <v>911</v>
      </c>
      <c r="E1662" s="534"/>
      <c r="F1662" s="544">
        <v>1</v>
      </c>
      <c r="G1662" s="59" t="s">
        <v>1845</v>
      </c>
      <c r="H1662" s="586">
        <v>0</v>
      </c>
      <c r="I1662" s="389" t="s">
        <v>1845</v>
      </c>
      <c r="J1662" s="15">
        <v>114099000</v>
      </c>
      <c r="K1662" s="25">
        <v>134754000</v>
      </c>
      <c r="L1662" s="13"/>
      <c r="M1662" s="17"/>
      <c r="N1662" s="17"/>
      <c r="O1662" s="17"/>
      <c r="P1662" s="17"/>
      <c r="Q1662" s="17"/>
      <c r="R1662" s="17"/>
      <c r="S1662" s="17"/>
      <c r="T1662" s="17"/>
      <c r="U1662" s="17"/>
      <c r="V1662" s="17"/>
      <c r="W1662" s="17"/>
      <c r="X1662" s="17"/>
      <c r="Y1662" s="53">
        <f t="shared" si="521"/>
        <v>89.088264541312313</v>
      </c>
      <c r="Z1662" s="53">
        <f t="shared" si="522"/>
        <v>89.088264541312313</v>
      </c>
      <c r="AA1662" s="22">
        <v>120050000</v>
      </c>
      <c r="AB1662" s="19">
        <f t="shared" si="517"/>
        <v>89.088264541312313</v>
      </c>
      <c r="AC1662" s="22">
        <f t="shared" si="518"/>
        <v>120050000</v>
      </c>
      <c r="AD1662" s="19">
        <f t="shared" si="519"/>
        <v>89.088264541312313</v>
      </c>
    </row>
    <row r="1663" spans="2:30">
      <c r="B1663" s="13">
        <f t="shared" si="520"/>
        <v>14</v>
      </c>
      <c r="C1663" s="74" t="s">
        <v>912</v>
      </c>
      <c r="D1663" s="21" t="s">
        <v>913</v>
      </c>
      <c r="E1663" s="534"/>
      <c r="F1663" s="544">
        <v>1</v>
      </c>
      <c r="G1663" s="59" t="s">
        <v>1845</v>
      </c>
      <c r="H1663" s="586">
        <v>0</v>
      </c>
      <c r="I1663" s="389" t="s">
        <v>1845</v>
      </c>
      <c r="J1663" s="15">
        <v>986153000</v>
      </c>
      <c r="K1663" s="25">
        <v>1273306000</v>
      </c>
      <c r="L1663" s="13"/>
      <c r="M1663" s="17"/>
      <c r="N1663" s="17"/>
      <c r="O1663" s="17"/>
      <c r="P1663" s="17"/>
      <c r="Q1663" s="17"/>
      <c r="R1663" s="17"/>
      <c r="S1663" s="17"/>
      <c r="T1663" s="17"/>
      <c r="U1663" s="17"/>
      <c r="V1663" s="17"/>
      <c r="W1663" s="17"/>
      <c r="X1663" s="17"/>
      <c r="Y1663" s="53">
        <f t="shared" si="521"/>
        <v>9.4224954567087571E-2</v>
      </c>
      <c r="Z1663" s="53">
        <f t="shared" si="522"/>
        <v>9.4224954567087571E-2</v>
      </c>
      <c r="AA1663" s="22">
        <v>1199772</v>
      </c>
      <c r="AB1663" s="19">
        <f t="shared" si="517"/>
        <v>9.4224954567087571E-2</v>
      </c>
      <c r="AC1663" s="22">
        <f t="shared" si="518"/>
        <v>1199772</v>
      </c>
      <c r="AD1663" s="19">
        <f t="shared" si="519"/>
        <v>9.4224954567087571E-2</v>
      </c>
    </row>
    <row r="1664" spans="2:30">
      <c r="B1664" s="13">
        <f t="shared" si="520"/>
        <v>15</v>
      </c>
      <c r="C1664" s="74" t="s">
        <v>914</v>
      </c>
      <c r="D1664" s="21" t="s">
        <v>915</v>
      </c>
      <c r="E1664" s="534"/>
      <c r="F1664" s="544">
        <v>1</v>
      </c>
      <c r="G1664" s="59" t="s">
        <v>1845</v>
      </c>
      <c r="H1664" s="586">
        <v>0</v>
      </c>
      <c r="I1664" s="389" t="s">
        <v>1845</v>
      </c>
      <c r="J1664" s="15">
        <v>941365000</v>
      </c>
      <c r="K1664" s="25">
        <v>0</v>
      </c>
      <c r="L1664" s="13"/>
      <c r="M1664" s="17"/>
      <c r="N1664" s="17"/>
      <c r="O1664" s="17"/>
      <c r="P1664" s="17"/>
      <c r="Q1664" s="17"/>
      <c r="R1664" s="17"/>
      <c r="S1664" s="17"/>
      <c r="T1664" s="17"/>
      <c r="U1664" s="17"/>
      <c r="V1664" s="17"/>
      <c r="W1664" s="17"/>
      <c r="X1664" s="17"/>
      <c r="Y1664" s="53">
        <f t="shared" si="521"/>
        <v>0</v>
      </c>
      <c r="Z1664" s="53">
        <f t="shared" si="522"/>
        <v>0</v>
      </c>
      <c r="AA1664" s="22">
        <v>0</v>
      </c>
      <c r="AB1664" s="19"/>
      <c r="AC1664" s="22"/>
      <c r="AD1664" s="19"/>
    </row>
    <row r="1665" spans="2:30">
      <c r="B1665" s="13">
        <f t="shared" si="520"/>
        <v>16</v>
      </c>
      <c r="C1665" s="81">
        <v>15.016999999999999</v>
      </c>
      <c r="D1665" s="21" t="s">
        <v>916</v>
      </c>
      <c r="E1665" s="534"/>
      <c r="F1665" s="544">
        <v>1</v>
      </c>
      <c r="G1665" s="59" t="s">
        <v>1845</v>
      </c>
      <c r="H1665" s="586">
        <v>0</v>
      </c>
      <c r="I1665" s="389" t="s">
        <v>1845</v>
      </c>
      <c r="J1665" s="15">
        <v>288718000</v>
      </c>
      <c r="K1665" s="25">
        <v>0</v>
      </c>
      <c r="L1665" s="13"/>
      <c r="M1665" s="17"/>
      <c r="N1665" s="17"/>
      <c r="O1665" s="17"/>
      <c r="P1665" s="17"/>
      <c r="Q1665" s="17"/>
      <c r="R1665" s="17"/>
      <c r="S1665" s="17"/>
      <c r="T1665" s="17"/>
      <c r="U1665" s="17"/>
      <c r="V1665" s="17"/>
      <c r="W1665" s="17"/>
      <c r="X1665" s="17"/>
      <c r="Y1665" s="53">
        <f t="shared" si="521"/>
        <v>0</v>
      </c>
      <c r="Z1665" s="53">
        <f t="shared" si="522"/>
        <v>0</v>
      </c>
      <c r="AA1665" s="22">
        <v>0</v>
      </c>
      <c r="AB1665" s="19"/>
      <c r="AC1665" s="22"/>
      <c r="AD1665" s="19"/>
    </row>
    <row r="1666" spans="2:30">
      <c r="B1666" s="13">
        <f t="shared" si="520"/>
        <v>17</v>
      </c>
      <c r="C1666" s="81">
        <v>15.018000000000001</v>
      </c>
      <c r="D1666" s="21" t="s">
        <v>2125</v>
      </c>
      <c r="E1666" s="534"/>
      <c r="F1666" s="544"/>
      <c r="G1666" s="59"/>
      <c r="H1666" s="586"/>
      <c r="I1666" s="389"/>
      <c r="J1666" s="15"/>
      <c r="K1666" s="25">
        <v>331800000</v>
      </c>
      <c r="L1666" s="13"/>
      <c r="M1666" s="17"/>
      <c r="N1666" s="17"/>
      <c r="O1666" s="17"/>
      <c r="P1666" s="17"/>
      <c r="Q1666" s="17"/>
      <c r="R1666" s="17"/>
      <c r="S1666" s="17"/>
      <c r="T1666" s="17"/>
      <c r="U1666" s="17"/>
      <c r="V1666" s="17"/>
      <c r="W1666" s="17"/>
      <c r="X1666" s="17"/>
      <c r="Y1666" s="53">
        <f>AB1666</f>
        <v>73.611814345991561</v>
      </c>
      <c r="Z1666" s="53">
        <f>AD1666</f>
        <v>73.611814345991561</v>
      </c>
      <c r="AA1666" s="22">
        <v>244244000</v>
      </c>
      <c r="AB1666" s="19">
        <f t="shared" si="517"/>
        <v>73.611814345991561</v>
      </c>
      <c r="AC1666" s="22">
        <f t="shared" si="518"/>
        <v>244244000</v>
      </c>
      <c r="AD1666" s="19">
        <f t="shared" si="519"/>
        <v>73.611814345991561</v>
      </c>
    </row>
    <row r="1667" spans="2:30" ht="27">
      <c r="B1667" s="13"/>
      <c r="C1667" s="86" t="s">
        <v>917</v>
      </c>
      <c r="D1667" s="86" t="s">
        <v>918</v>
      </c>
      <c r="E1667" s="490"/>
      <c r="F1667" s="544"/>
      <c r="G1667" s="59"/>
      <c r="H1667" s="586"/>
      <c r="I1667" s="389"/>
      <c r="J1667" s="88"/>
      <c r="K1667" s="88"/>
      <c r="L1667" s="13"/>
      <c r="M1667" s="17"/>
      <c r="N1667" s="17"/>
      <c r="O1667" s="17"/>
      <c r="P1667" s="17"/>
      <c r="Q1667" s="17"/>
      <c r="R1667" s="17"/>
      <c r="S1667" s="17"/>
      <c r="T1667" s="17"/>
      <c r="U1667" s="17"/>
      <c r="V1667" s="17"/>
      <c r="W1667" s="17"/>
      <c r="X1667" s="17"/>
      <c r="Y1667" s="53"/>
      <c r="Z1667" s="53"/>
      <c r="AA1667" s="22"/>
      <c r="AB1667" s="19"/>
      <c r="AC1667" s="22"/>
      <c r="AD1667" s="19"/>
    </row>
    <row r="1668" spans="2:30" ht="40.5">
      <c r="B1668" s="13">
        <f>B1666+1</f>
        <v>18</v>
      </c>
      <c r="C1668" s="74" t="s">
        <v>251</v>
      </c>
      <c r="D1668" s="74" t="s">
        <v>919</v>
      </c>
      <c r="E1668" s="534"/>
      <c r="F1668" s="544">
        <v>1</v>
      </c>
      <c r="G1668" s="59" t="s">
        <v>1845</v>
      </c>
      <c r="H1668" s="586">
        <v>0</v>
      </c>
      <c r="I1668" s="389" t="s">
        <v>1845</v>
      </c>
      <c r="J1668" s="15">
        <v>8308000</v>
      </c>
      <c r="K1668" s="15">
        <v>8308000</v>
      </c>
      <c r="L1668" s="13"/>
      <c r="M1668" s="17"/>
      <c r="N1668" s="17"/>
      <c r="O1668" s="17"/>
      <c r="P1668" s="17"/>
      <c r="Q1668" s="17"/>
      <c r="R1668" s="17"/>
      <c r="S1668" s="17"/>
      <c r="T1668" s="17"/>
      <c r="U1668" s="17"/>
      <c r="V1668" s="17"/>
      <c r="W1668" s="17"/>
      <c r="X1668" s="17"/>
      <c r="Y1668" s="53">
        <f t="shared" si="521"/>
        <v>50.782378430428501</v>
      </c>
      <c r="Z1668" s="53">
        <f t="shared" si="522"/>
        <v>50.782378430428501</v>
      </c>
      <c r="AA1668" s="22">
        <v>4219000</v>
      </c>
      <c r="AB1668" s="19">
        <f t="shared" si="517"/>
        <v>50.782378430428501</v>
      </c>
      <c r="AC1668" s="22">
        <f t="shared" si="518"/>
        <v>4219000</v>
      </c>
      <c r="AD1668" s="19">
        <f t="shared" si="519"/>
        <v>50.782378430428501</v>
      </c>
    </row>
    <row r="1669" spans="2:30" ht="40.5">
      <c r="B1669" s="13">
        <f t="shared" si="520"/>
        <v>19</v>
      </c>
      <c r="C1669" s="74" t="s">
        <v>253</v>
      </c>
      <c r="D1669" s="74" t="s">
        <v>920</v>
      </c>
      <c r="E1669" s="534"/>
      <c r="F1669" s="544">
        <v>1</v>
      </c>
      <c r="G1669" s="59" t="s">
        <v>1845</v>
      </c>
      <c r="H1669" s="586">
        <v>0</v>
      </c>
      <c r="I1669" s="389" t="s">
        <v>1845</v>
      </c>
      <c r="J1669" s="15">
        <v>19700000</v>
      </c>
      <c r="K1669" s="25">
        <v>60568000</v>
      </c>
      <c r="L1669" s="13"/>
      <c r="M1669" s="17"/>
      <c r="N1669" s="17"/>
      <c r="O1669" s="17"/>
      <c r="P1669" s="17"/>
      <c r="Q1669" s="17"/>
      <c r="R1669" s="17"/>
      <c r="S1669" s="17"/>
      <c r="T1669" s="17"/>
      <c r="U1669" s="17"/>
      <c r="V1669" s="17"/>
      <c r="W1669" s="17"/>
      <c r="X1669" s="17"/>
      <c r="Y1669" s="53">
        <f t="shared" si="521"/>
        <v>71.236309602430325</v>
      </c>
      <c r="Z1669" s="53">
        <f t="shared" si="522"/>
        <v>71.236309602430325</v>
      </c>
      <c r="AA1669" s="22">
        <v>43146408</v>
      </c>
      <c r="AB1669" s="19">
        <f t="shared" si="517"/>
        <v>71.236309602430325</v>
      </c>
      <c r="AC1669" s="22">
        <f t="shared" si="518"/>
        <v>43146408</v>
      </c>
      <c r="AD1669" s="19">
        <f t="shared" si="519"/>
        <v>71.236309602430325</v>
      </c>
    </row>
    <row r="1670" spans="2:30" ht="27">
      <c r="B1670" s="13">
        <f t="shared" si="520"/>
        <v>20</v>
      </c>
      <c r="C1670" s="74" t="s">
        <v>524</v>
      </c>
      <c r="D1670" s="74" t="s">
        <v>921</v>
      </c>
      <c r="E1670" s="534"/>
      <c r="F1670" s="544">
        <v>1</v>
      </c>
      <c r="G1670" s="59" t="s">
        <v>1845</v>
      </c>
      <c r="H1670" s="586">
        <v>0</v>
      </c>
      <c r="I1670" s="389" t="s">
        <v>1845</v>
      </c>
      <c r="J1670" s="15">
        <v>20000000</v>
      </c>
      <c r="K1670" s="25">
        <v>28752000</v>
      </c>
      <c r="L1670" s="13"/>
      <c r="M1670" s="17"/>
      <c r="N1670" s="17"/>
      <c r="O1670" s="17"/>
      <c r="P1670" s="17"/>
      <c r="Q1670" s="17"/>
      <c r="R1670" s="17"/>
      <c r="S1670" s="17"/>
      <c r="T1670" s="17"/>
      <c r="U1670" s="17"/>
      <c r="V1670" s="17"/>
      <c r="W1670" s="17"/>
      <c r="X1670" s="17"/>
      <c r="Y1670" s="53">
        <f t="shared" si="521"/>
        <v>99.80870895937673</v>
      </c>
      <c r="Z1670" s="53">
        <f t="shared" si="522"/>
        <v>99.80870895937673</v>
      </c>
      <c r="AA1670" s="22">
        <v>28697000</v>
      </c>
      <c r="AB1670" s="19">
        <f t="shared" si="517"/>
        <v>99.80870895937673</v>
      </c>
      <c r="AC1670" s="22">
        <f t="shared" si="518"/>
        <v>28697000</v>
      </c>
      <c r="AD1670" s="19">
        <f t="shared" si="519"/>
        <v>99.80870895937673</v>
      </c>
    </row>
    <row r="1671" spans="2:30">
      <c r="B1671" s="13">
        <f t="shared" si="520"/>
        <v>21</v>
      </c>
      <c r="C1671" s="74" t="s">
        <v>255</v>
      </c>
      <c r="D1671" s="74" t="s">
        <v>922</v>
      </c>
      <c r="E1671" s="534"/>
      <c r="F1671" s="544">
        <v>1</v>
      </c>
      <c r="G1671" s="270" t="s">
        <v>1845</v>
      </c>
      <c r="H1671" s="595">
        <v>0</v>
      </c>
      <c r="I1671" s="469" t="s">
        <v>1845</v>
      </c>
      <c r="J1671" s="15">
        <v>50000000</v>
      </c>
      <c r="K1671" s="25">
        <v>50000000</v>
      </c>
      <c r="L1671" s="13"/>
      <c r="M1671" s="17"/>
      <c r="N1671" s="17"/>
      <c r="O1671" s="17"/>
      <c r="P1671" s="17"/>
      <c r="Q1671" s="17"/>
      <c r="R1671" s="17"/>
      <c r="S1671" s="17"/>
      <c r="T1671" s="17"/>
      <c r="U1671" s="17"/>
      <c r="V1671" s="17"/>
      <c r="W1671" s="17"/>
      <c r="X1671" s="17"/>
      <c r="Y1671" s="53">
        <f t="shared" si="521"/>
        <v>97.44</v>
      </c>
      <c r="Z1671" s="53">
        <f t="shared" si="522"/>
        <v>97.44</v>
      </c>
      <c r="AA1671" s="22">
        <v>48720000</v>
      </c>
      <c r="AB1671" s="19">
        <f t="shared" si="517"/>
        <v>97.44</v>
      </c>
      <c r="AC1671" s="22">
        <f t="shared" si="518"/>
        <v>48720000</v>
      </c>
      <c r="AD1671" s="19">
        <f t="shared" si="519"/>
        <v>97.44</v>
      </c>
    </row>
    <row r="1672" spans="2:30">
      <c r="B1672" s="13">
        <f t="shared" si="520"/>
        <v>22</v>
      </c>
      <c r="C1672" s="74" t="s">
        <v>257</v>
      </c>
      <c r="D1672" s="376" t="s">
        <v>2126</v>
      </c>
      <c r="E1672" s="693"/>
      <c r="F1672" s="616"/>
      <c r="G1672" s="611"/>
      <c r="H1672" s="694"/>
      <c r="I1672" s="565"/>
      <c r="J1672" s="598"/>
      <c r="K1672" s="85">
        <v>25000000</v>
      </c>
      <c r="L1672" s="47"/>
      <c r="M1672" s="51"/>
      <c r="N1672" s="51"/>
      <c r="O1672" s="51"/>
      <c r="P1672" s="51"/>
      <c r="Q1672" s="51"/>
      <c r="R1672" s="51"/>
      <c r="S1672" s="51"/>
      <c r="T1672" s="51"/>
      <c r="U1672" s="51"/>
      <c r="V1672" s="51"/>
      <c r="W1672" s="51"/>
      <c r="X1672" s="51"/>
      <c r="Y1672" s="111">
        <v>1</v>
      </c>
      <c r="Z1672" s="111">
        <v>1</v>
      </c>
      <c r="AA1672" s="112">
        <v>0</v>
      </c>
      <c r="AB1672" s="19">
        <f t="shared" si="517"/>
        <v>0</v>
      </c>
      <c r="AC1672" s="112">
        <f t="shared" si="518"/>
        <v>0</v>
      </c>
      <c r="AD1672" s="19">
        <f t="shared" si="519"/>
        <v>0</v>
      </c>
    </row>
    <row r="1673" spans="2:30">
      <c r="B1673" s="37">
        <v>130</v>
      </c>
      <c r="C1673" s="855" t="s">
        <v>923</v>
      </c>
      <c r="D1673" s="855"/>
      <c r="E1673" s="483"/>
      <c r="F1673" s="494">
        <v>19</v>
      </c>
      <c r="G1673" s="567" t="s">
        <v>1845</v>
      </c>
      <c r="H1673" s="596">
        <f>SUM(H1649:H1671)</f>
        <v>0</v>
      </c>
      <c r="I1673" s="567" t="s">
        <v>1845</v>
      </c>
      <c r="J1673" s="208">
        <f>SUM(J1649:J1671)</f>
        <v>3239853000</v>
      </c>
      <c r="K1673" s="208">
        <f>SUM(K1649:K1672)</f>
        <v>3265277000</v>
      </c>
      <c r="L1673" s="295"/>
      <c r="M1673" s="28"/>
      <c r="N1673" s="28"/>
      <c r="O1673" s="28"/>
      <c r="P1673" s="28"/>
      <c r="Q1673" s="28"/>
      <c r="R1673" s="28"/>
      <c r="S1673" s="28"/>
      <c r="T1673" s="28"/>
      <c r="U1673" s="28"/>
      <c r="V1673" s="28"/>
      <c r="W1673" s="28"/>
      <c r="X1673" s="28"/>
      <c r="Y1673" s="84">
        <f>SUM(Y1649:Y1671)/20</f>
        <v>77.331103955372413</v>
      </c>
      <c r="Z1673" s="84">
        <f>SUM(Z1649:Z1672)/20</f>
        <v>77.38110395537241</v>
      </c>
      <c r="AA1673" s="68">
        <f>SUM(AA1649:AA1672)</f>
        <v>1584291853</v>
      </c>
      <c r="AB1673" s="84">
        <f>SUM(AB1649:AB1672)/20</f>
        <v>77.331103955372413</v>
      </c>
      <c r="AC1673" s="68">
        <f>SUM(AC1649:AC1672)</f>
        <v>1584291853</v>
      </c>
      <c r="AD1673" s="84">
        <f>SUM(AD1649:AD1672)/20</f>
        <v>77.331103955372413</v>
      </c>
    </row>
    <row r="1674" spans="2:30">
      <c r="B1674" s="66"/>
      <c r="C1674" s="63" t="s">
        <v>924</v>
      </c>
      <c r="D1674" s="64" t="s">
        <v>925</v>
      </c>
      <c r="E1674" s="484"/>
      <c r="F1674" s="484"/>
      <c r="G1674" s="472"/>
      <c r="H1674" s="484"/>
      <c r="I1674" s="472"/>
      <c r="J1674" s="127"/>
      <c r="K1674" s="65"/>
      <c r="L1674" s="66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  <c r="W1674" s="63"/>
      <c r="X1674" s="63"/>
      <c r="Y1674" s="63"/>
      <c r="Z1674" s="63"/>
      <c r="AA1674" s="63"/>
      <c r="AB1674" s="63"/>
      <c r="AC1674" s="63"/>
      <c r="AD1674" s="63"/>
    </row>
    <row r="1675" spans="2:30" ht="27">
      <c r="B1675" s="13"/>
      <c r="C1675" s="86" t="s">
        <v>540</v>
      </c>
      <c r="D1675" s="86" t="s">
        <v>541</v>
      </c>
      <c r="E1675" s="485"/>
      <c r="F1675" s="485"/>
      <c r="G1675" s="441"/>
      <c r="H1675" s="87"/>
      <c r="I1675" s="87"/>
      <c r="J1675" s="209"/>
      <c r="K1675" s="209"/>
      <c r="L1675" s="13"/>
      <c r="M1675" s="17"/>
      <c r="N1675" s="17"/>
      <c r="O1675" s="17"/>
      <c r="P1675" s="17"/>
      <c r="Q1675" s="17"/>
      <c r="R1675" s="17"/>
      <c r="S1675" s="17"/>
      <c r="T1675" s="17"/>
      <c r="U1675" s="17"/>
      <c r="V1675" s="17"/>
      <c r="W1675" s="17"/>
      <c r="X1675" s="17"/>
      <c r="Y1675" s="128"/>
      <c r="Z1675" s="128"/>
      <c r="AA1675" s="128"/>
      <c r="AB1675" s="147"/>
      <c r="AC1675" s="128"/>
      <c r="AD1675" s="147"/>
    </row>
    <row r="1676" spans="2:30">
      <c r="B1676" s="13">
        <f>B1675+1</f>
        <v>1</v>
      </c>
      <c r="C1676" s="74" t="s">
        <v>295</v>
      </c>
      <c r="D1676" s="21" t="s">
        <v>926</v>
      </c>
      <c r="E1676" s="204"/>
      <c r="F1676" s="204"/>
      <c r="G1676" s="193"/>
      <c r="H1676" s="89"/>
      <c r="I1676" s="89"/>
      <c r="J1676" s="15">
        <v>300000000</v>
      </c>
      <c r="K1676" s="99">
        <v>300000000</v>
      </c>
      <c r="L1676" s="13"/>
      <c r="M1676" s="17"/>
      <c r="N1676" s="17"/>
      <c r="O1676" s="17"/>
      <c r="P1676" s="17"/>
      <c r="Q1676" s="17"/>
      <c r="R1676" s="17"/>
      <c r="S1676" s="17"/>
      <c r="T1676" s="17"/>
      <c r="U1676" s="17"/>
      <c r="V1676" s="17"/>
      <c r="W1676" s="17"/>
      <c r="X1676" s="17"/>
      <c r="Y1676" s="19">
        <f>AB1676</f>
        <v>99.706183333333328</v>
      </c>
      <c r="Z1676" s="19">
        <f>AD1676</f>
        <v>99.706183333333328</v>
      </c>
      <c r="AA1676" s="22">
        <v>299118550</v>
      </c>
      <c r="AB1676" s="19">
        <f>AA1676/K1676*100</f>
        <v>99.706183333333328</v>
      </c>
      <c r="AC1676" s="22">
        <f>AA1676</f>
        <v>299118550</v>
      </c>
      <c r="AD1676" s="19">
        <f>AC1676/K1676*100</f>
        <v>99.706183333333328</v>
      </c>
    </row>
    <row r="1677" spans="2:30" ht="16.5">
      <c r="B1677" s="13"/>
      <c r="C1677" s="86" t="s">
        <v>562</v>
      </c>
      <c r="D1677" s="86" t="s">
        <v>563</v>
      </c>
      <c r="E1677" s="485"/>
      <c r="F1677" s="485"/>
      <c r="G1677" s="441"/>
      <c r="H1677" s="87"/>
      <c r="I1677" s="87"/>
      <c r="J1677" s="209"/>
      <c r="K1677" s="16"/>
      <c r="L1677" s="13"/>
      <c r="M1677" s="17"/>
      <c r="N1677" s="17"/>
      <c r="O1677" s="17"/>
      <c r="P1677" s="17"/>
      <c r="Q1677" s="17"/>
      <c r="R1677" s="17"/>
      <c r="S1677" s="17"/>
      <c r="T1677" s="17"/>
      <c r="U1677" s="17"/>
      <c r="V1677" s="17"/>
      <c r="W1677" s="17"/>
      <c r="X1677" s="17"/>
      <c r="Y1677" s="153"/>
      <c r="Z1677" s="227"/>
      <c r="AA1677" s="228"/>
      <c r="AB1677" s="19"/>
      <c r="AC1677" s="153"/>
      <c r="AD1677" s="19"/>
    </row>
    <row r="1678" spans="2:30">
      <c r="B1678" s="13">
        <f>B1676+1</f>
        <v>2</v>
      </c>
      <c r="C1678" s="74" t="s">
        <v>219</v>
      </c>
      <c r="D1678" s="74" t="s">
        <v>927</v>
      </c>
      <c r="E1678" s="204"/>
      <c r="F1678" s="204"/>
      <c r="G1678" s="193"/>
      <c r="H1678" s="89"/>
      <c r="I1678" s="89"/>
      <c r="J1678" s="15">
        <v>77150000</v>
      </c>
      <c r="K1678" s="99">
        <v>72296000</v>
      </c>
      <c r="L1678" s="13"/>
      <c r="M1678" s="17"/>
      <c r="N1678" s="17"/>
      <c r="O1678" s="17"/>
      <c r="P1678" s="17"/>
      <c r="Q1678" s="17"/>
      <c r="R1678" s="17"/>
      <c r="S1678" s="17"/>
      <c r="T1678" s="17"/>
      <c r="U1678" s="17"/>
      <c r="V1678" s="17"/>
      <c r="W1678" s="17"/>
      <c r="X1678" s="17"/>
      <c r="Y1678" s="13">
        <v>100</v>
      </c>
      <c r="Z1678" s="229">
        <v>100</v>
      </c>
      <c r="AA1678" s="230">
        <v>33210700</v>
      </c>
      <c r="AB1678" s="19">
        <f>AA1678/K1678*100</f>
        <v>45.937119619342702</v>
      </c>
      <c r="AC1678" s="230">
        <f>AA1678</f>
        <v>33210700</v>
      </c>
      <c r="AD1678" s="19">
        <f>AC1678/K1678*100</f>
        <v>45.937119619342702</v>
      </c>
    </row>
    <row r="1679" spans="2:30">
      <c r="B1679" s="13">
        <f t="shared" ref="B1679:B1744" si="523">B1678+1</f>
        <v>3</v>
      </c>
      <c r="C1679" s="74" t="s">
        <v>221</v>
      </c>
      <c r="D1679" s="74" t="s">
        <v>928</v>
      </c>
      <c r="E1679" s="204"/>
      <c r="F1679" s="204"/>
      <c r="G1679" s="193"/>
      <c r="H1679" s="89"/>
      <c r="I1679" s="89"/>
      <c r="J1679" s="15">
        <v>78213000</v>
      </c>
      <c r="K1679" s="99">
        <v>76209000</v>
      </c>
      <c r="L1679" s="13"/>
      <c r="M1679" s="17"/>
      <c r="N1679" s="17"/>
      <c r="O1679" s="17"/>
      <c r="P1679" s="17"/>
      <c r="Q1679" s="17"/>
      <c r="R1679" s="17"/>
      <c r="S1679" s="17"/>
      <c r="T1679" s="17"/>
      <c r="U1679" s="17"/>
      <c r="V1679" s="17"/>
      <c r="W1679" s="17"/>
      <c r="X1679" s="17"/>
      <c r="Y1679" s="229">
        <v>100</v>
      </c>
      <c r="Z1679" s="229">
        <v>100</v>
      </c>
      <c r="AA1679" s="230">
        <v>71159000</v>
      </c>
      <c r="AB1679" s="19">
        <f t="shared" ref="AB1679:AB1680" si="524">AA1679/K1679*100</f>
        <v>93.37348607119894</v>
      </c>
      <c r="AC1679" s="230">
        <f t="shared" ref="AC1679:AC1745" si="525">AA1679</f>
        <v>71159000</v>
      </c>
      <c r="AD1679" s="19">
        <f t="shared" ref="AD1679:AD1680" si="526">AC1679/K1679*100</f>
        <v>93.37348607119894</v>
      </c>
    </row>
    <row r="1680" spans="2:30" ht="27">
      <c r="B1680" s="13">
        <f t="shared" si="523"/>
        <v>4</v>
      </c>
      <c r="C1680" s="74" t="s">
        <v>600</v>
      </c>
      <c r="D1680" s="74" t="s">
        <v>929</v>
      </c>
      <c r="E1680" s="204"/>
      <c r="F1680" s="204"/>
      <c r="G1680" s="193"/>
      <c r="H1680" s="89"/>
      <c r="I1680" s="89"/>
      <c r="J1680" s="15">
        <v>202194000</v>
      </c>
      <c r="K1680" s="99">
        <v>194560000</v>
      </c>
      <c r="L1680" s="13"/>
      <c r="M1680" s="17"/>
      <c r="N1680" s="17"/>
      <c r="O1680" s="17"/>
      <c r="P1680" s="17"/>
      <c r="Q1680" s="17"/>
      <c r="R1680" s="17"/>
      <c r="S1680" s="17"/>
      <c r="T1680" s="17"/>
      <c r="U1680" s="17"/>
      <c r="V1680" s="17"/>
      <c r="W1680" s="17"/>
      <c r="X1680" s="17"/>
      <c r="Y1680" s="229">
        <v>100</v>
      </c>
      <c r="Z1680" s="229">
        <v>100</v>
      </c>
      <c r="AA1680" s="230">
        <v>187996600</v>
      </c>
      <c r="AB1680" s="19">
        <f t="shared" si="524"/>
        <v>96.62654194078948</v>
      </c>
      <c r="AC1680" s="252">
        <f>AA1680</f>
        <v>187996600</v>
      </c>
      <c r="AD1680" s="19">
        <f t="shared" si="526"/>
        <v>96.62654194078948</v>
      </c>
    </row>
    <row r="1681" spans="2:30">
      <c r="B1681" s="13">
        <f t="shared" si="523"/>
        <v>5</v>
      </c>
      <c r="C1681" s="74" t="s">
        <v>644</v>
      </c>
      <c r="D1681" s="74" t="s">
        <v>930</v>
      </c>
      <c r="E1681" s="204"/>
      <c r="F1681" s="204"/>
      <c r="G1681" s="193"/>
      <c r="H1681" s="89"/>
      <c r="I1681" s="89"/>
      <c r="J1681" s="15">
        <v>50000000</v>
      </c>
      <c r="K1681" s="99">
        <v>45955000</v>
      </c>
      <c r="L1681" s="13"/>
      <c r="M1681" s="17"/>
      <c r="N1681" s="17"/>
      <c r="O1681" s="17"/>
      <c r="P1681" s="17"/>
      <c r="Q1681" s="17"/>
      <c r="R1681" s="17"/>
      <c r="S1681" s="17"/>
      <c r="T1681" s="17"/>
      <c r="U1681" s="17"/>
      <c r="V1681" s="17"/>
      <c r="W1681" s="17"/>
      <c r="X1681" s="17"/>
      <c r="Y1681" s="13">
        <v>100</v>
      </c>
      <c r="Z1681" s="229">
        <v>90</v>
      </c>
      <c r="AA1681" s="230">
        <v>40113000</v>
      </c>
      <c r="AB1681" s="19">
        <f>AA1681/K1681*100</f>
        <v>87.287563921227289</v>
      </c>
      <c r="AC1681" s="230">
        <f t="shared" si="525"/>
        <v>40113000</v>
      </c>
      <c r="AD1681" s="19">
        <f>AC1681/K1681*100</f>
        <v>87.287563921227289</v>
      </c>
    </row>
    <row r="1682" spans="2:30" ht="40.5">
      <c r="B1682" s="66"/>
      <c r="C1682" s="120" t="s">
        <v>711</v>
      </c>
      <c r="D1682" s="120" t="s">
        <v>712</v>
      </c>
      <c r="E1682" s="487"/>
      <c r="F1682" s="487"/>
      <c r="G1682" s="474"/>
      <c r="H1682" s="255"/>
      <c r="I1682" s="255"/>
      <c r="J1682" s="612"/>
      <c r="K1682" s="127"/>
      <c r="L1682" s="66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  <c r="W1682" s="63"/>
      <c r="X1682" s="63"/>
      <c r="Y1682" s="788"/>
      <c r="Z1682" s="789"/>
      <c r="AA1682" s="788"/>
      <c r="AB1682" s="134"/>
      <c r="AC1682" s="788"/>
      <c r="AD1682" s="134"/>
    </row>
    <row r="1683" spans="2:30" ht="27">
      <c r="B1683" s="13">
        <f>B1681+1</f>
        <v>6</v>
      </c>
      <c r="C1683" s="74" t="s">
        <v>219</v>
      </c>
      <c r="D1683" s="74" t="s">
        <v>931</v>
      </c>
      <c r="E1683" s="204"/>
      <c r="F1683" s="204"/>
      <c r="G1683" s="193"/>
      <c r="H1683" s="89"/>
      <c r="I1683" s="89"/>
      <c r="J1683" s="15">
        <v>690000000</v>
      </c>
      <c r="K1683" s="99">
        <v>690000000</v>
      </c>
      <c r="L1683" s="13"/>
      <c r="M1683" s="17"/>
      <c r="N1683" s="17"/>
      <c r="O1683" s="17"/>
      <c r="P1683" s="17"/>
      <c r="Q1683" s="17"/>
      <c r="R1683" s="17"/>
      <c r="S1683" s="17"/>
      <c r="T1683" s="17"/>
      <c r="U1683" s="17"/>
      <c r="V1683" s="17"/>
      <c r="W1683" s="17"/>
      <c r="X1683" s="17"/>
      <c r="Y1683" s="229">
        <v>100</v>
      </c>
      <c r="Z1683" s="229">
        <v>100</v>
      </c>
      <c r="AA1683" s="230">
        <v>661847250</v>
      </c>
      <c r="AB1683" s="19">
        <f>AA1683/K1683*100</f>
        <v>95.919891304347829</v>
      </c>
      <c r="AC1683" s="230">
        <f t="shared" si="525"/>
        <v>661847250</v>
      </c>
      <c r="AD1683" s="19">
        <f>AC1683/K1683*100</f>
        <v>95.919891304347829</v>
      </c>
    </row>
    <row r="1684" spans="2:30" ht="16.5">
      <c r="B1684" s="13"/>
      <c r="C1684" s="86" t="s">
        <v>932</v>
      </c>
      <c r="D1684" s="86" t="s">
        <v>933</v>
      </c>
      <c r="E1684" s="485"/>
      <c r="F1684" s="485"/>
      <c r="G1684" s="441"/>
      <c r="H1684" s="87"/>
      <c r="I1684" s="87"/>
      <c r="J1684" s="209"/>
      <c r="K1684" s="16"/>
      <c r="L1684" s="13"/>
      <c r="M1684" s="17"/>
      <c r="N1684" s="17"/>
      <c r="O1684" s="17"/>
      <c r="P1684" s="17"/>
      <c r="Q1684" s="17"/>
      <c r="R1684" s="17"/>
      <c r="S1684" s="17"/>
      <c r="T1684" s="17"/>
      <c r="U1684" s="17"/>
      <c r="V1684" s="17"/>
      <c r="W1684" s="17"/>
      <c r="X1684" s="17"/>
      <c r="Y1684" s="153"/>
      <c r="Z1684" s="227"/>
      <c r="AA1684" s="153"/>
      <c r="AB1684" s="19"/>
      <c r="AC1684" s="153"/>
      <c r="AD1684" s="19"/>
    </row>
    <row r="1685" spans="2:30">
      <c r="B1685" s="13">
        <f>B1683+1</f>
        <v>7</v>
      </c>
      <c r="C1685" s="74" t="s">
        <v>219</v>
      </c>
      <c r="D1685" s="74" t="s">
        <v>934</v>
      </c>
      <c r="E1685" s="204"/>
      <c r="F1685" s="204"/>
      <c r="G1685" s="193"/>
      <c r="H1685" s="89"/>
      <c r="I1685" s="89"/>
      <c r="J1685" s="15">
        <v>361300000</v>
      </c>
      <c r="K1685" s="99">
        <v>355611000</v>
      </c>
      <c r="L1685" s="13"/>
      <c r="M1685" s="17"/>
      <c r="N1685" s="17"/>
      <c r="O1685" s="17"/>
      <c r="P1685" s="17"/>
      <c r="Q1685" s="17"/>
      <c r="R1685" s="17"/>
      <c r="S1685" s="17"/>
      <c r="T1685" s="17"/>
      <c r="U1685" s="17"/>
      <c r="V1685" s="17"/>
      <c r="W1685" s="17"/>
      <c r="X1685" s="17"/>
      <c r="Y1685" s="715">
        <v>100</v>
      </c>
      <c r="Z1685" s="229">
        <v>100</v>
      </c>
      <c r="AA1685" s="230">
        <v>347847750</v>
      </c>
      <c r="AB1685" s="19">
        <f>AA1685/K1685*100</f>
        <v>97.816926360545651</v>
      </c>
      <c r="AC1685" s="230">
        <f>AA1685</f>
        <v>347847750</v>
      </c>
      <c r="AD1685" s="19">
        <f>AC1685/K1685*100</f>
        <v>97.816926360545651</v>
      </c>
    </row>
    <row r="1686" spans="2:30">
      <c r="B1686" s="13">
        <f t="shared" si="523"/>
        <v>8</v>
      </c>
      <c r="C1686" s="74" t="s">
        <v>221</v>
      </c>
      <c r="D1686" s="74" t="s">
        <v>935</v>
      </c>
      <c r="E1686" s="204"/>
      <c r="F1686" s="204"/>
      <c r="G1686" s="193"/>
      <c r="H1686" s="89"/>
      <c r="I1686" s="89"/>
      <c r="J1686" s="15">
        <v>480000000</v>
      </c>
      <c r="K1686" s="99">
        <v>1191986000</v>
      </c>
      <c r="L1686" s="13"/>
      <c r="M1686" s="17"/>
      <c r="N1686" s="17"/>
      <c r="O1686" s="17"/>
      <c r="P1686" s="17"/>
      <c r="Q1686" s="17"/>
      <c r="R1686" s="17"/>
      <c r="S1686" s="17"/>
      <c r="T1686" s="17"/>
      <c r="U1686" s="17"/>
      <c r="V1686" s="17"/>
      <c r="W1686" s="17"/>
      <c r="X1686" s="17"/>
      <c r="Y1686" s="229">
        <v>100</v>
      </c>
      <c r="Z1686" s="229">
        <v>100</v>
      </c>
      <c r="AA1686" s="230">
        <v>919304750</v>
      </c>
      <c r="AB1686" s="19">
        <f>AA1686/K1686*100</f>
        <v>77.123787527705872</v>
      </c>
      <c r="AC1686" s="230">
        <f t="shared" si="525"/>
        <v>919304750</v>
      </c>
      <c r="AD1686" s="19">
        <f>AC1686/K1686*100</f>
        <v>77.123787527705872</v>
      </c>
    </row>
    <row r="1687" spans="2:30">
      <c r="B1687" s="13">
        <f t="shared" si="523"/>
        <v>9</v>
      </c>
      <c r="C1687" s="74" t="s">
        <v>600</v>
      </c>
      <c r="D1687" s="74" t="s">
        <v>936</v>
      </c>
      <c r="E1687" s="204"/>
      <c r="F1687" s="204"/>
      <c r="G1687" s="193"/>
      <c r="H1687" s="89"/>
      <c r="I1687" s="89"/>
      <c r="J1687" s="15">
        <v>118000000</v>
      </c>
      <c r="K1687" s="99">
        <v>141799000</v>
      </c>
      <c r="L1687" s="13"/>
      <c r="M1687" s="17"/>
      <c r="N1687" s="17"/>
      <c r="O1687" s="17"/>
      <c r="P1687" s="17"/>
      <c r="Q1687" s="17"/>
      <c r="R1687" s="17"/>
      <c r="S1687" s="17"/>
      <c r="T1687" s="17"/>
      <c r="U1687" s="17"/>
      <c r="V1687" s="17"/>
      <c r="W1687" s="17"/>
      <c r="X1687" s="17"/>
      <c r="Y1687" s="229">
        <v>100</v>
      </c>
      <c r="Z1687" s="229">
        <v>100</v>
      </c>
      <c r="AA1687" s="230">
        <v>137969000</v>
      </c>
      <c r="AB1687" s="19">
        <f t="shared" ref="AB1687:AB1689" si="527">AA1687/K1687*100</f>
        <v>97.29899364593544</v>
      </c>
      <c r="AC1687" s="230">
        <f t="shared" si="525"/>
        <v>137969000</v>
      </c>
      <c r="AD1687" s="19">
        <f t="shared" ref="AD1687:AD1689" si="528">AC1687/K1687*100</f>
        <v>97.29899364593544</v>
      </c>
    </row>
    <row r="1688" spans="2:30" ht="27">
      <c r="B1688" s="13">
        <f t="shared" si="523"/>
        <v>10</v>
      </c>
      <c r="C1688" s="74" t="s">
        <v>564</v>
      </c>
      <c r="D1688" s="74" t="s">
        <v>937</v>
      </c>
      <c r="E1688" s="204"/>
      <c r="F1688" s="204"/>
      <c r="G1688" s="193"/>
      <c r="H1688" s="89"/>
      <c r="I1688" s="89"/>
      <c r="J1688" s="15">
        <v>85275000</v>
      </c>
      <c r="K1688" s="99">
        <v>85275000</v>
      </c>
      <c r="L1688" s="13"/>
      <c r="M1688" s="17"/>
      <c r="N1688" s="17"/>
      <c r="O1688" s="17"/>
      <c r="P1688" s="17"/>
      <c r="Q1688" s="17"/>
      <c r="R1688" s="17"/>
      <c r="S1688" s="17"/>
      <c r="T1688" s="17"/>
      <c r="U1688" s="17"/>
      <c r="V1688" s="17"/>
      <c r="W1688" s="17"/>
      <c r="X1688" s="17"/>
      <c r="Y1688" s="229">
        <v>100</v>
      </c>
      <c r="Z1688" s="229">
        <v>100</v>
      </c>
      <c r="AA1688" s="230">
        <v>77700000</v>
      </c>
      <c r="AB1688" s="19">
        <f t="shared" si="527"/>
        <v>91.116974494283198</v>
      </c>
      <c r="AC1688" s="230">
        <f t="shared" si="525"/>
        <v>77700000</v>
      </c>
      <c r="AD1688" s="19">
        <f t="shared" si="528"/>
        <v>91.116974494283198</v>
      </c>
    </row>
    <row r="1689" spans="2:30">
      <c r="B1689" s="13">
        <f t="shared" si="523"/>
        <v>11</v>
      </c>
      <c r="C1689" s="74" t="s">
        <v>644</v>
      </c>
      <c r="D1689" s="74" t="s">
        <v>938</v>
      </c>
      <c r="E1689" s="204"/>
      <c r="F1689" s="204"/>
      <c r="G1689" s="193"/>
      <c r="H1689" s="89"/>
      <c r="I1689" s="89"/>
      <c r="J1689" s="15">
        <v>69350000</v>
      </c>
      <c r="K1689" s="99">
        <v>67954000</v>
      </c>
      <c r="L1689" s="13"/>
      <c r="M1689" s="17"/>
      <c r="N1689" s="17"/>
      <c r="O1689" s="17"/>
      <c r="P1689" s="17"/>
      <c r="Q1689" s="17"/>
      <c r="R1689" s="17"/>
      <c r="S1689" s="17"/>
      <c r="T1689" s="17"/>
      <c r="U1689" s="17"/>
      <c r="V1689" s="17"/>
      <c r="W1689" s="17"/>
      <c r="X1689" s="17"/>
      <c r="Y1689" s="229">
        <v>100</v>
      </c>
      <c r="Z1689" s="229">
        <v>100</v>
      </c>
      <c r="AA1689" s="230">
        <v>46120000</v>
      </c>
      <c r="AB1689" s="19">
        <f t="shared" si="527"/>
        <v>67.869441092503763</v>
      </c>
      <c r="AC1689" s="230">
        <f t="shared" si="525"/>
        <v>46120000</v>
      </c>
      <c r="AD1689" s="19">
        <f t="shared" si="528"/>
        <v>67.869441092503763</v>
      </c>
    </row>
    <row r="1690" spans="2:30">
      <c r="B1690" s="13">
        <f t="shared" si="523"/>
        <v>12</v>
      </c>
      <c r="C1690" s="74" t="s">
        <v>664</v>
      </c>
      <c r="D1690" s="74" t="s">
        <v>2147</v>
      </c>
      <c r="E1690" s="204"/>
      <c r="F1690" s="204"/>
      <c r="G1690" s="193"/>
      <c r="H1690" s="89"/>
      <c r="I1690" s="89"/>
      <c r="J1690" s="15"/>
      <c r="K1690" s="99">
        <v>1177640000</v>
      </c>
      <c r="L1690" s="13"/>
      <c r="M1690" s="17"/>
      <c r="N1690" s="17"/>
      <c r="O1690" s="17"/>
      <c r="P1690" s="17"/>
      <c r="Q1690" s="17"/>
      <c r="R1690" s="17"/>
      <c r="S1690" s="17"/>
      <c r="T1690" s="17"/>
      <c r="U1690" s="17"/>
      <c r="V1690" s="17"/>
      <c r="W1690" s="17"/>
      <c r="X1690" s="17"/>
      <c r="Y1690" s="229">
        <v>100</v>
      </c>
      <c r="Z1690" s="229">
        <v>100</v>
      </c>
      <c r="AA1690" s="230">
        <v>1176250000</v>
      </c>
      <c r="AB1690" s="19">
        <f t="shared" ref="AB1690" si="529">AA1690/K1690*100</f>
        <v>99.881967324479476</v>
      </c>
      <c r="AC1690" s="230">
        <f t="shared" ref="AC1690" si="530">AA1690</f>
        <v>1176250000</v>
      </c>
      <c r="AD1690" s="19">
        <f t="shared" ref="AD1690" si="531">AC1690/K1690*100</f>
        <v>99.881967324479476</v>
      </c>
    </row>
    <row r="1691" spans="2:30" ht="27">
      <c r="B1691" s="13"/>
      <c r="C1691" s="86" t="s">
        <v>939</v>
      </c>
      <c r="D1691" s="86" t="s">
        <v>940</v>
      </c>
      <c r="E1691" s="485"/>
      <c r="F1691" s="485"/>
      <c r="G1691" s="441"/>
      <c r="H1691" s="87"/>
      <c r="I1691" s="87"/>
      <c r="J1691" s="209"/>
      <c r="K1691" s="16"/>
      <c r="L1691" s="13"/>
      <c r="M1691" s="17"/>
      <c r="N1691" s="17"/>
      <c r="O1691" s="17"/>
      <c r="P1691" s="17"/>
      <c r="Q1691" s="17"/>
      <c r="R1691" s="17"/>
      <c r="S1691" s="17"/>
      <c r="T1691" s="17"/>
      <c r="U1691" s="17"/>
      <c r="V1691" s="17"/>
      <c r="W1691" s="17"/>
      <c r="X1691" s="17"/>
      <c r="Y1691" s="153"/>
      <c r="Z1691" s="227"/>
      <c r="AA1691" s="153"/>
      <c r="AB1691" s="19"/>
      <c r="AC1691" s="153"/>
      <c r="AD1691" s="19"/>
    </row>
    <row r="1692" spans="2:30">
      <c r="B1692" s="13">
        <f>B1690+1</f>
        <v>13</v>
      </c>
      <c r="C1692" s="74" t="s">
        <v>604</v>
      </c>
      <c r="D1692" s="74" t="s">
        <v>941</v>
      </c>
      <c r="E1692" s="204"/>
      <c r="F1692" s="204"/>
      <c r="G1692" s="193"/>
      <c r="H1692" s="89"/>
      <c r="I1692" s="89"/>
      <c r="J1692" s="15">
        <v>192000000</v>
      </c>
      <c r="K1692" s="99">
        <v>193300000</v>
      </c>
      <c r="L1692" s="13"/>
      <c r="M1692" s="17"/>
      <c r="N1692" s="17"/>
      <c r="O1692" s="17"/>
      <c r="P1692" s="17"/>
      <c r="Q1692" s="17"/>
      <c r="R1692" s="17"/>
      <c r="S1692" s="17"/>
      <c r="T1692" s="17"/>
      <c r="U1692" s="17"/>
      <c r="V1692" s="17"/>
      <c r="W1692" s="17"/>
      <c r="X1692" s="17"/>
      <c r="Y1692" s="13">
        <v>100</v>
      </c>
      <c r="Z1692" s="229">
        <v>100</v>
      </c>
      <c r="AA1692" s="230">
        <v>182173000</v>
      </c>
      <c r="AB1692" s="19">
        <f>AA1692/K1692*100</f>
        <v>94.243662700465606</v>
      </c>
      <c r="AC1692" s="230">
        <f t="shared" si="525"/>
        <v>182173000</v>
      </c>
      <c r="AD1692" s="19">
        <f>AC1692/K1692*100</f>
        <v>94.243662700465606</v>
      </c>
    </row>
    <row r="1693" spans="2:30" ht="27">
      <c r="B1693" s="153"/>
      <c r="C1693" s="86" t="s">
        <v>942</v>
      </c>
      <c r="D1693" s="86" t="s">
        <v>26</v>
      </c>
      <c r="E1693" s="485"/>
      <c r="F1693" s="485"/>
      <c r="G1693" s="441"/>
      <c r="H1693" s="87"/>
      <c r="I1693" s="87"/>
      <c r="J1693" s="209"/>
      <c r="K1693" s="16"/>
      <c r="L1693" s="13"/>
      <c r="M1693" s="17"/>
      <c r="N1693" s="17"/>
      <c r="O1693" s="17"/>
      <c r="P1693" s="17"/>
      <c r="Q1693" s="17"/>
      <c r="R1693" s="17"/>
      <c r="S1693" s="17"/>
      <c r="T1693" s="17"/>
      <c r="U1693" s="17"/>
      <c r="V1693" s="17"/>
      <c r="W1693" s="17"/>
      <c r="X1693" s="17"/>
      <c r="Y1693" s="153"/>
      <c r="Z1693" s="227"/>
      <c r="AA1693" s="228"/>
      <c r="AB1693" s="19"/>
      <c r="AC1693" s="231"/>
      <c r="AD1693" s="19"/>
    </row>
    <row r="1694" spans="2:30">
      <c r="B1694" s="13">
        <f>B1692+1</f>
        <v>14</v>
      </c>
      <c r="C1694" s="74" t="s">
        <v>203</v>
      </c>
      <c r="D1694" s="21" t="s">
        <v>28</v>
      </c>
      <c r="E1694" s="204"/>
      <c r="F1694" s="204"/>
      <c r="G1694" s="193"/>
      <c r="H1694" s="89"/>
      <c r="I1694" s="89"/>
      <c r="J1694" s="15">
        <v>10897559000</v>
      </c>
      <c r="K1694" s="99">
        <v>15093370000</v>
      </c>
      <c r="L1694" s="13"/>
      <c r="M1694" s="17"/>
      <c r="N1694" s="17"/>
      <c r="O1694" s="17"/>
      <c r="P1694" s="17"/>
      <c r="Q1694" s="17"/>
      <c r="R1694" s="17"/>
      <c r="S1694" s="17"/>
      <c r="T1694" s="17"/>
      <c r="U1694" s="17"/>
      <c r="V1694" s="17"/>
      <c r="W1694" s="17"/>
      <c r="X1694" s="17"/>
      <c r="Y1694" s="229">
        <v>100</v>
      </c>
      <c r="Z1694" s="19">
        <v>100</v>
      </c>
      <c r="AA1694" s="162">
        <v>13310546563</v>
      </c>
      <c r="AB1694" s="19">
        <f>AA1694/K1694*100</f>
        <v>88.188035958834917</v>
      </c>
      <c r="AC1694" s="22">
        <f t="shared" si="525"/>
        <v>13310546563</v>
      </c>
      <c r="AD1694" s="19">
        <f>AC1694/K1694*100</f>
        <v>88.188035958834917</v>
      </c>
    </row>
    <row r="1695" spans="2:30">
      <c r="B1695" s="13">
        <f t="shared" si="523"/>
        <v>15</v>
      </c>
      <c r="C1695" s="74" t="s">
        <v>210</v>
      </c>
      <c r="D1695" s="21" t="s">
        <v>30</v>
      </c>
      <c r="E1695" s="204"/>
      <c r="F1695" s="204"/>
      <c r="G1695" s="193"/>
      <c r="H1695" s="89"/>
      <c r="I1695" s="89"/>
      <c r="J1695" s="15">
        <v>951655000</v>
      </c>
      <c r="K1695" s="99">
        <v>906420000</v>
      </c>
      <c r="L1695" s="13"/>
      <c r="M1695" s="17"/>
      <c r="N1695" s="17"/>
      <c r="O1695" s="17"/>
      <c r="P1695" s="17"/>
      <c r="Q1695" s="17"/>
      <c r="R1695" s="17"/>
      <c r="S1695" s="17"/>
      <c r="T1695" s="17"/>
      <c r="U1695" s="17"/>
      <c r="V1695" s="17"/>
      <c r="W1695" s="17"/>
      <c r="X1695" s="17"/>
      <c r="Y1695" s="229">
        <v>100</v>
      </c>
      <c r="Z1695" s="19">
        <v>100</v>
      </c>
      <c r="AA1695" s="162">
        <v>906214305</v>
      </c>
      <c r="AB1695" s="19">
        <f t="shared" ref="AB1695:AB1698" si="532">AA1695/K1695*100</f>
        <v>99.977306877606409</v>
      </c>
      <c r="AC1695" s="22">
        <f t="shared" si="525"/>
        <v>906214305</v>
      </c>
      <c r="AD1695" s="19">
        <f t="shared" ref="AD1695:AD1698" si="533">AC1695/K1695*100</f>
        <v>99.977306877606409</v>
      </c>
    </row>
    <row r="1696" spans="2:30">
      <c r="B1696" s="13">
        <f t="shared" si="523"/>
        <v>16</v>
      </c>
      <c r="C1696" s="74" t="s">
        <v>204</v>
      </c>
      <c r="D1696" s="21" t="s">
        <v>32</v>
      </c>
      <c r="E1696" s="204"/>
      <c r="F1696" s="204"/>
      <c r="G1696" s="193"/>
      <c r="H1696" s="89"/>
      <c r="I1696" s="89"/>
      <c r="J1696" s="15">
        <v>1809960000</v>
      </c>
      <c r="K1696" s="99">
        <v>1725670000</v>
      </c>
      <c r="L1696" s="13"/>
      <c r="M1696" s="17"/>
      <c r="N1696" s="17"/>
      <c r="O1696" s="17"/>
      <c r="P1696" s="17"/>
      <c r="Q1696" s="17"/>
      <c r="R1696" s="17"/>
      <c r="S1696" s="17"/>
      <c r="T1696" s="17"/>
      <c r="U1696" s="17"/>
      <c r="V1696" s="17"/>
      <c r="W1696" s="17"/>
      <c r="X1696" s="17"/>
      <c r="Y1696" s="229">
        <v>100</v>
      </c>
      <c r="Z1696" s="19">
        <v>100</v>
      </c>
      <c r="AA1696" s="162">
        <v>1182529579</v>
      </c>
      <c r="AB1696" s="19">
        <f t="shared" si="532"/>
        <v>68.525823535206627</v>
      </c>
      <c r="AC1696" s="22">
        <f t="shared" si="525"/>
        <v>1182529579</v>
      </c>
      <c r="AD1696" s="19">
        <f t="shared" si="533"/>
        <v>68.525823535206627</v>
      </c>
    </row>
    <row r="1697" spans="2:30">
      <c r="B1697" s="13">
        <f t="shared" si="523"/>
        <v>17</v>
      </c>
      <c r="C1697" s="74" t="s">
        <v>205</v>
      </c>
      <c r="D1697" s="21" t="s">
        <v>34</v>
      </c>
      <c r="E1697" s="204"/>
      <c r="F1697" s="204"/>
      <c r="G1697" s="193"/>
      <c r="H1697" s="89"/>
      <c r="I1697" s="89"/>
      <c r="J1697" s="15">
        <v>397280000</v>
      </c>
      <c r="K1697" s="99">
        <v>502370000</v>
      </c>
      <c r="L1697" s="13"/>
      <c r="M1697" s="17"/>
      <c r="N1697" s="17"/>
      <c r="O1697" s="17"/>
      <c r="P1697" s="17"/>
      <c r="Q1697" s="17"/>
      <c r="R1697" s="17"/>
      <c r="S1697" s="17"/>
      <c r="T1697" s="17"/>
      <c r="U1697" s="17"/>
      <c r="V1697" s="17"/>
      <c r="W1697" s="17"/>
      <c r="X1697" s="17"/>
      <c r="Y1697" s="229">
        <v>100</v>
      </c>
      <c r="Z1697" s="19">
        <v>100</v>
      </c>
      <c r="AA1697" s="22">
        <v>478153100</v>
      </c>
      <c r="AB1697" s="19">
        <f t="shared" si="532"/>
        <v>95.179469315444791</v>
      </c>
      <c r="AC1697" s="22">
        <f t="shared" si="525"/>
        <v>478153100</v>
      </c>
      <c r="AD1697" s="19">
        <f t="shared" si="533"/>
        <v>95.179469315444791</v>
      </c>
    </row>
    <row r="1698" spans="2:30" ht="25.5">
      <c r="B1698" s="13">
        <f t="shared" si="523"/>
        <v>18</v>
      </c>
      <c r="C1698" s="74" t="s">
        <v>637</v>
      </c>
      <c r="D1698" s="21" t="s">
        <v>638</v>
      </c>
      <c r="E1698" s="204"/>
      <c r="F1698" s="204"/>
      <c r="G1698" s="193"/>
      <c r="H1698" s="89"/>
      <c r="I1698" s="89"/>
      <c r="J1698" s="15">
        <v>88880000</v>
      </c>
      <c r="K1698" s="99">
        <v>88880000</v>
      </c>
      <c r="L1698" s="13"/>
      <c r="M1698" s="17"/>
      <c r="N1698" s="17"/>
      <c r="O1698" s="17"/>
      <c r="P1698" s="17"/>
      <c r="Q1698" s="17"/>
      <c r="R1698" s="17"/>
      <c r="S1698" s="17"/>
      <c r="T1698" s="17"/>
      <c r="U1698" s="17"/>
      <c r="V1698" s="17"/>
      <c r="W1698" s="17"/>
      <c r="X1698" s="17"/>
      <c r="Y1698" s="229">
        <f t="shared" ref="Y1698" si="534">AB1698</f>
        <v>100</v>
      </c>
      <c r="Z1698" s="19">
        <f t="shared" ref="Z1698" si="535">AD1698</f>
        <v>100</v>
      </c>
      <c r="AA1698" s="22">
        <v>88880000</v>
      </c>
      <c r="AB1698" s="19">
        <f t="shared" si="532"/>
        <v>100</v>
      </c>
      <c r="AC1698" s="22">
        <f t="shared" si="525"/>
        <v>88880000</v>
      </c>
      <c r="AD1698" s="19">
        <f t="shared" si="533"/>
        <v>100</v>
      </c>
    </row>
    <row r="1699" spans="2:30">
      <c r="B1699" s="13">
        <f t="shared" si="523"/>
        <v>19</v>
      </c>
      <c r="C1699" s="74" t="s">
        <v>215</v>
      </c>
      <c r="D1699" s="21" t="s">
        <v>36</v>
      </c>
      <c r="E1699" s="204"/>
      <c r="F1699" s="204"/>
      <c r="G1699" s="193"/>
      <c r="H1699" s="89"/>
      <c r="I1699" s="89"/>
      <c r="J1699" s="15">
        <v>100000000</v>
      </c>
      <c r="K1699" s="99">
        <v>100000000</v>
      </c>
      <c r="L1699" s="13"/>
      <c r="M1699" s="17"/>
      <c r="N1699" s="17"/>
      <c r="O1699" s="17"/>
      <c r="P1699" s="17"/>
      <c r="Q1699" s="17"/>
      <c r="R1699" s="17"/>
      <c r="S1699" s="17"/>
      <c r="T1699" s="17"/>
      <c r="U1699" s="17"/>
      <c r="V1699" s="17"/>
      <c r="W1699" s="17"/>
      <c r="X1699" s="17"/>
      <c r="Y1699" s="13">
        <v>100</v>
      </c>
      <c r="Z1699" s="19">
        <v>100</v>
      </c>
      <c r="AA1699" s="22">
        <v>50487000</v>
      </c>
      <c r="AB1699" s="19">
        <v>5</v>
      </c>
      <c r="AC1699" s="22">
        <v>4342000</v>
      </c>
      <c r="AD1699" s="19">
        <f t="shared" ref="AD1699:AD1700" si="536">AC1699/J1699*100</f>
        <v>4.3419999999999996</v>
      </c>
    </row>
    <row r="1700" spans="2:30" ht="25.5">
      <c r="B1700" s="13">
        <f t="shared" si="523"/>
        <v>20</v>
      </c>
      <c r="C1700" s="74" t="s">
        <v>216</v>
      </c>
      <c r="D1700" s="21" t="s">
        <v>38</v>
      </c>
      <c r="E1700" s="204"/>
      <c r="F1700" s="204"/>
      <c r="G1700" s="193"/>
      <c r="H1700" s="89"/>
      <c r="I1700" s="89"/>
      <c r="J1700" s="15">
        <v>13000000</v>
      </c>
      <c r="K1700" s="99">
        <v>13000000</v>
      </c>
      <c r="L1700" s="13"/>
      <c r="M1700" s="17"/>
      <c r="N1700" s="17"/>
      <c r="O1700" s="17"/>
      <c r="P1700" s="17"/>
      <c r="Q1700" s="17"/>
      <c r="R1700" s="17"/>
      <c r="S1700" s="17"/>
      <c r="T1700" s="17"/>
      <c r="U1700" s="17"/>
      <c r="V1700" s="17"/>
      <c r="W1700" s="17"/>
      <c r="X1700" s="17"/>
      <c r="Y1700" s="13">
        <v>100</v>
      </c>
      <c r="Z1700" s="19">
        <v>75</v>
      </c>
      <c r="AA1700" s="22">
        <v>0</v>
      </c>
      <c r="AB1700" s="19">
        <f>AA1700/K1700*100</f>
        <v>0</v>
      </c>
      <c r="AC1700" s="22">
        <f t="shared" si="525"/>
        <v>0</v>
      </c>
      <c r="AD1700" s="19">
        <f t="shared" si="536"/>
        <v>0</v>
      </c>
    </row>
    <row r="1701" spans="2:30" ht="19.5" customHeight="1">
      <c r="B1701" s="13">
        <f t="shared" si="523"/>
        <v>21</v>
      </c>
      <c r="C1701" s="74" t="s">
        <v>943</v>
      </c>
      <c r="D1701" s="21" t="s">
        <v>944</v>
      </c>
      <c r="E1701" s="204"/>
      <c r="F1701" s="204"/>
      <c r="G1701" s="193"/>
      <c r="H1701" s="89"/>
      <c r="I1701" s="89"/>
      <c r="J1701" s="15">
        <v>30408000</v>
      </c>
      <c r="K1701" s="99">
        <v>30408000</v>
      </c>
      <c r="L1701" s="13"/>
      <c r="M1701" s="17"/>
      <c r="N1701" s="17"/>
      <c r="O1701" s="17"/>
      <c r="P1701" s="17"/>
      <c r="Q1701" s="17"/>
      <c r="R1701" s="17"/>
      <c r="S1701" s="17"/>
      <c r="T1701" s="17"/>
      <c r="U1701" s="17"/>
      <c r="V1701" s="17"/>
      <c r="W1701" s="17"/>
      <c r="X1701" s="17"/>
      <c r="Y1701" s="13">
        <v>100</v>
      </c>
      <c r="Z1701" s="19">
        <v>100</v>
      </c>
      <c r="AA1701" s="22">
        <v>21894000</v>
      </c>
      <c r="AB1701" s="19">
        <f>AA1701/K1701*100</f>
        <v>72.000789265982633</v>
      </c>
      <c r="AC1701" s="17">
        <f t="shared" si="525"/>
        <v>21894000</v>
      </c>
      <c r="AD1701" s="19">
        <f>AC1701/K1701*100</f>
        <v>72.000789265982633</v>
      </c>
    </row>
    <row r="1702" spans="2:30">
      <c r="B1702" s="13">
        <f t="shared" si="523"/>
        <v>22</v>
      </c>
      <c r="C1702" s="123" t="s">
        <v>945</v>
      </c>
      <c r="D1702" s="21" t="s">
        <v>946</v>
      </c>
      <c r="E1702" s="204"/>
      <c r="F1702" s="204"/>
      <c r="G1702" s="193"/>
      <c r="H1702" s="89"/>
      <c r="I1702" s="89"/>
      <c r="J1702" s="15">
        <v>2695000000</v>
      </c>
      <c r="K1702" s="99">
        <v>7806400000</v>
      </c>
      <c r="L1702" s="13"/>
      <c r="M1702" s="17"/>
      <c r="N1702" s="17"/>
      <c r="O1702" s="17"/>
      <c r="P1702" s="17"/>
      <c r="Q1702" s="17"/>
      <c r="R1702" s="17"/>
      <c r="S1702" s="17"/>
      <c r="T1702" s="17"/>
      <c r="U1702" s="17"/>
      <c r="V1702" s="17"/>
      <c r="W1702" s="17"/>
      <c r="X1702" s="17"/>
      <c r="Y1702" s="229">
        <v>100</v>
      </c>
      <c r="Z1702" s="19">
        <v>100</v>
      </c>
      <c r="AA1702" s="22">
        <v>7723530000</v>
      </c>
      <c r="AB1702" s="19">
        <f>AA1702/K1702*100</f>
        <v>98.938435130149614</v>
      </c>
      <c r="AC1702" s="22">
        <f t="shared" si="525"/>
        <v>7723530000</v>
      </c>
      <c r="AD1702" s="19">
        <f>AC1702/K1702*100</f>
        <v>98.938435130149614</v>
      </c>
    </row>
    <row r="1703" spans="2:30">
      <c r="B1703" s="13">
        <f t="shared" si="523"/>
        <v>23</v>
      </c>
      <c r="C1703" s="123" t="s">
        <v>863</v>
      </c>
      <c r="D1703" s="21" t="s">
        <v>864</v>
      </c>
      <c r="E1703" s="204"/>
      <c r="F1703" s="204"/>
      <c r="G1703" s="193"/>
      <c r="H1703" s="89"/>
      <c r="I1703" s="89"/>
      <c r="J1703" s="15">
        <v>20000000</v>
      </c>
      <c r="K1703" s="99">
        <v>0</v>
      </c>
      <c r="L1703" s="13"/>
      <c r="M1703" s="17"/>
      <c r="N1703" s="17"/>
      <c r="O1703" s="17"/>
      <c r="P1703" s="17"/>
      <c r="Q1703" s="17"/>
      <c r="R1703" s="17"/>
      <c r="S1703" s="17"/>
      <c r="T1703" s="17"/>
      <c r="U1703" s="17"/>
      <c r="V1703" s="17"/>
      <c r="W1703" s="17"/>
      <c r="X1703" s="17"/>
      <c r="Y1703" s="13">
        <v>0</v>
      </c>
      <c r="Z1703" s="19">
        <v>0</v>
      </c>
      <c r="AA1703" s="22">
        <v>0</v>
      </c>
      <c r="AB1703" s="19"/>
      <c r="AC1703" s="22">
        <f t="shared" si="525"/>
        <v>0</v>
      </c>
      <c r="AD1703" s="19"/>
    </row>
    <row r="1704" spans="2:30" ht="27">
      <c r="B1704" s="13">
        <f t="shared" si="523"/>
        <v>24</v>
      </c>
      <c r="C1704" s="86" t="s">
        <v>2149</v>
      </c>
      <c r="D1704" s="21" t="s">
        <v>2150</v>
      </c>
      <c r="E1704" s="204"/>
      <c r="F1704" s="204"/>
      <c r="G1704" s="193"/>
      <c r="H1704" s="89"/>
      <c r="I1704" s="89"/>
      <c r="J1704" s="15"/>
      <c r="K1704" s="99">
        <v>194400000</v>
      </c>
      <c r="L1704" s="13"/>
      <c r="M1704" s="17"/>
      <c r="N1704" s="17"/>
      <c r="O1704" s="17"/>
      <c r="P1704" s="17"/>
      <c r="Q1704" s="17"/>
      <c r="R1704" s="17"/>
      <c r="S1704" s="17"/>
      <c r="T1704" s="17"/>
      <c r="U1704" s="17"/>
      <c r="V1704" s="17"/>
      <c r="W1704" s="17"/>
      <c r="X1704" s="17"/>
      <c r="Y1704" s="229">
        <v>100</v>
      </c>
      <c r="Z1704" s="19">
        <v>100</v>
      </c>
      <c r="AA1704" s="22">
        <v>190000000</v>
      </c>
      <c r="AB1704" s="19">
        <f t="shared" ref="AB1704" si="537">AA1704/K1704*100</f>
        <v>97.7366255144033</v>
      </c>
      <c r="AC1704" s="22">
        <f t="shared" si="525"/>
        <v>190000000</v>
      </c>
      <c r="AD1704" s="19">
        <f t="shared" ref="AD1704" si="538">AC1704/K1704*100</f>
        <v>97.7366255144033</v>
      </c>
    </row>
    <row r="1705" spans="2:30" ht="27">
      <c r="B1705" s="13"/>
      <c r="C1705" s="86" t="s">
        <v>947</v>
      </c>
      <c r="D1705" s="86" t="s">
        <v>948</v>
      </c>
      <c r="E1705" s="485"/>
      <c r="F1705" s="485"/>
      <c r="G1705" s="441"/>
      <c r="H1705" s="87"/>
      <c r="I1705" s="87"/>
      <c r="J1705" s="209"/>
      <c r="K1705" s="16"/>
      <c r="L1705" s="13"/>
      <c r="M1705" s="17"/>
      <c r="N1705" s="17"/>
      <c r="O1705" s="17"/>
      <c r="P1705" s="17"/>
      <c r="Q1705" s="17"/>
      <c r="R1705" s="17"/>
      <c r="S1705" s="17"/>
      <c r="T1705" s="17"/>
      <c r="U1705" s="17"/>
      <c r="V1705" s="17"/>
      <c r="W1705" s="17"/>
      <c r="X1705" s="17"/>
      <c r="Y1705" s="153"/>
      <c r="Z1705" s="227"/>
      <c r="AA1705" s="228"/>
      <c r="AB1705" s="19"/>
      <c r="AC1705" s="228"/>
      <c r="AD1705" s="19"/>
    </row>
    <row r="1706" spans="2:30">
      <c r="B1706" s="13">
        <f>B1704+1</f>
        <v>25</v>
      </c>
      <c r="C1706" s="74" t="s">
        <v>375</v>
      </c>
      <c r="D1706" s="74" t="s">
        <v>949</v>
      </c>
      <c r="E1706" s="204"/>
      <c r="F1706" s="204"/>
      <c r="G1706" s="193"/>
      <c r="H1706" s="89"/>
      <c r="I1706" s="89"/>
      <c r="J1706" s="15">
        <v>1376993000</v>
      </c>
      <c r="K1706" s="99">
        <v>1376993000</v>
      </c>
      <c r="L1706" s="13"/>
      <c r="M1706" s="17"/>
      <c r="N1706" s="17"/>
      <c r="O1706" s="17"/>
      <c r="P1706" s="17"/>
      <c r="Q1706" s="17"/>
      <c r="R1706" s="17"/>
      <c r="S1706" s="17"/>
      <c r="T1706" s="17"/>
      <c r="U1706" s="17"/>
      <c r="V1706" s="17"/>
      <c r="W1706" s="17"/>
      <c r="X1706" s="17"/>
      <c r="Y1706" s="229">
        <f>AB1706</f>
        <v>49.175254630924044</v>
      </c>
      <c r="Z1706" s="19">
        <f>AD1706</f>
        <v>49.175254630924044</v>
      </c>
      <c r="AA1706" s="22">
        <v>677139814</v>
      </c>
      <c r="AB1706" s="19">
        <f>AA1706/K1706*100</f>
        <v>49.175254630924044</v>
      </c>
      <c r="AC1706" s="22">
        <f t="shared" si="525"/>
        <v>677139814</v>
      </c>
      <c r="AD1706" s="19">
        <f>AC1706/K1706*100</f>
        <v>49.175254630924044</v>
      </c>
    </row>
    <row r="1707" spans="2:30" ht="15.75" customHeight="1">
      <c r="B1707" s="13">
        <f t="shared" si="523"/>
        <v>26</v>
      </c>
      <c r="C1707" s="74" t="s">
        <v>377</v>
      </c>
      <c r="D1707" s="74" t="s">
        <v>950</v>
      </c>
      <c r="E1707" s="204"/>
      <c r="F1707" s="204"/>
      <c r="G1707" s="193"/>
      <c r="H1707" s="89"/>
      <c r="I1707" s="89"/>
      <c r="J1707" s="15">
        <v>910289000</v>
      </c>
      <c r="K1707" s="99">
        <v>910289000</v>
      </c>
      <c r="L1707" s="13"/>
      <c r="M1707" s="17"/>
      <c r="N1707" s="17"/>
      <c r="O1707" s="17"/>
      <c r="P1707" s="17"/>
      <c r="Q1707" s="17"/>
      <c r="R1707" s="17"/>
      <c r="S1707" s="17"/>
      <c r="T1707" s="17"/>
      <c r="U1707" s="17"/>
      <c r="V1707" s="17"/>
      <c r="W1707" s="17"/>
      <c r="X1707" s="17"/>
      <c r="Y1707" s="229">
        <f t="shared" ref="Y1707:Y1711" si="539">AB1707</f>
        <v>63.905663695815285</v>
      </c>
      <c r="Z1707" s="19">
        <f t="shared" ref="Z1707:Z1711" si="540">AD1707</f>
        <v>63.905663695815285</v>
      </c>
      <c r="AA1707" s="22">
        <v>581726227</v>
      </c>
      <c r="AB1707" s="19">
        <f t="shared" ref="AB1707:AB1727" si="541">AA1707/K1707*100</f>
        <v>63.905663695815285</v>
      </c>
      <c r="AC1707" s="17">
        <f t="shared" si="525"/>
        <v>581726227</v>
      </c>
      <c r="AD1707" s="19">
        <f t="shared" ref="AD1707:AD1727" si="542">AC1707/K1707*100</f>
        <v>63.905663695815285</v>
      </c>
    </row>
    <row r="1708" spans="2:30" ht="27">
      <c r="B1708" s="13">
        <f t="shared" si="523"/>
        <v>27</v>
      </c>
      <c r="C1708" s="74" t="s">
        <v>614</v>
      </c>
      <c r="D1708" s="74" t="s">
        <v>951</v>
      </c>
      <c r="E1708" s="204"/>
      <c r="F1708" s="204"/>
      <c r="G1708" s="193"/>
      <c r="H1708" s="89"/>
      <c r="I1708" s="89"/>
      <c r="J1708" s="15">
        <v>622350000</v>
      </c>
      <c r="K1708" s="99">
        <v>622350000</v>
      </c>
      <c r="L1708" s="13"/>
      <c r="M1708" s="17"/>
      <c r="N1708" s="17"/>
      <c r="O1708" s="17"/>
      <c r="P1708" s="17"/>
      <c r="Q1708" s="17"/>
      <c r="R1708" s="17"/>
      <c r="S1708" s="17"/>
      <c r="T1708" s="17"/>
      <c r="U1708" s="17"/>
      <c r="V1708" s="17"/>
      <c r="W1708" s="17"/>
      <c r="X1708" s="17"/>
      <c r="Y1708" s="229">
        <f t="shared" si="539"/>
        <v>32.451734393829838</v>
      </c>
      <c r="Z1708" s="19">
        <f t="shared" si="540"/>
        <v>32.451734393829838</v>
      </c>
      <c r="AA1708" s="22">
        <v>201963369</v>
      </c>
      <c r="AB1708" s="19">
        <f t="shared" si="541"/>
        <v>32.451734393829838</v>
      </c>
      <c r="AC1708" s="17">
        <f t="shared" si="525"/>
        <v>201963369</v>
      </c>
      <c r="AD1708" s="19">
        <f t="shared" si="542"/>
        <v>32.451734393829838</v>
      </c>
    </row>
    <row r="1709" spans="2:30" ht="27">
      <c r="B1709" s="13">
        <f t="shared" si="523"/>
        <v>28</v>
      </c>
      <c r="C1709" s="74" t="s">
        <v>379</v>
      </c>
      <c r="D1709" s="74" t="s">
        <v>952</v>
      </c>
      <c r="E1709" s="204"/>
      <c r="F1709" s="204"/>
      <c r="G1709" s="193"/>
      <c r="H1709" s="89"/>
      <c r="I1709" s="89"/>
      <c r="J1709" s="15">
        <v>598900000</v>
      </c>
      <c r="K1709" s="99">
        <v>598900000</v>
      </c>
      <c r="L1709" s="13"/>
      <c r="M1709" s="17"/>
      <c r="N1709" s="17"/>
      <c r="O1709" s="17"/>
      <c r="P1709" s="17"/>
      <c r="Q1709" s="17"/>
      <c r="R1709" s="17"/>
      <c r="S1709" s="17"/>
      <c r="T1709" s="17"/>
      <c r="U1709" s="17"/>
      <c r="V1709" s="17"/>
      <c r="W1709" s="17"/>
      <c r="X1709" s="17"/>
      <c r="Y1709" s="229">
        <f t="shared" si="539"/>
        <v>36.274187844381366</v>
      </c>
      <c r="Z1709" s="19">
        <f t="shared" si="540"/>
        <v>36.274187844381366</v>
      </c>
      <c r="AA1709" s="22">
        <v>217246111</v>
      </c>
      <c r="AB1709" s="19">
        <f t="shared" si="541"/>
        <v>36.274187844381366</v>
      </c>
      <c r="AC1709" s="17">
        <f t="shared" si="525"/>
        <v>217246111</v>
      </c>
      <c r="AD1709" s="19">
        <f t="shared" si="542"/>
        <v>36.274187844381366</v>
      </c>
    </row>
    <row r="1710" spans="2:30" ht="27">
      <c r="B1710" s="13">
        <f t="shared" si="523"/>
        <v>29</v>
      </c>
      <c r="C1710" s="74" t="s">
        <v>655</v>
      </c>
      <c r="D1710" s="74" t="s">
        <v>953</v>
      </c>
      <c r="E1710" s="204"/>
      <c r="F1710" s="204"/>
      <c r="G1710" s="193"/>
      <c r="H1710" s="89"/>
      <c r="I1710" s="89"/>
      <c r="J1710" s="15">
        <v>100000000</v>
      </c>
      <c r="K1710" s="99">
        <v>100000000</v>
      </c>
      <c r="L1710" s="13"/>
      <c r="M1710" s="17"/>
      <c r="N1710" s="17"/>
      <c r="O1710" s="17"/>
      <c r="P1710" s="17"/>
      <c r="Q1710" s="17"/>
      <c r="R1710" s="17"/>
      <c r="S1710" s="17"/>
      <c r="T1710" s="17"/>
      <c r="U1710" s="17"/>
      <c r="V1710" s="17"/>
      <c r="W1710" s="17"/>
      <c r="X1710" s="17"/>
      <c r="Y1710" s="229">
        <f t="shared" si="539"/>
        <v>19.600000000000001</v>
      </c>
      <c r="Z1710" s="19">
        <f t="shared" si="540"/>
        <v>19.600000000000001</v>
      </c>
      <c r="AA1710" s="22">
        <v>19600000</v>
      </c>
      <c r="AB1710" s="19">
        <f t="shared" si="541"/>
        <v>19.600000000000001</v>
      </c>
      <c r="AC1710" s="17">
        <f t="shared" si="525"/>
        <v>19600000</v>
      </c>
      <c r="AD1710" s="19">
        <f t="shared" si="542"/>
        <v>19.600000000000001</v>
      </c>
    </row>
    <row r="1711" spans="2:30" ht="27">
      <c r="B1711" s="13">
        <f t="shared" si="523"/>
        <v>30</v>
      </c>
      <c r="C1711" s="74" t="s">
        <v>381</v>
      </c>
      <c r="D1711" s="74" t="s">
        <v>954</v>
      </c>
      <c r="E1711" s="204"/>
      <c r="F1711" s="204"/>
      <c r="G1711" s="193"/>
      <c r="H1711" s="89"/>
      <c r="I1711" s="89"/>
      <c r="J1711" s="15">
        <v>150000000</v>
      </c>
      <c r="K1711" s="99">
        <v>150000000</v>
      </c>
      <c r="L1711" s="13"/>
      <c r="M1711" s="17"/>
      <c r="N1711" s="17"/>
      <c r="O1711" s="17"/>
      <c r="P1711" s="17"/>
      <c r="Q1711" s="17"/>
      <c r="R1711" s="17"/>
      <c r="S1711" s="17"/>
      <c r="T1711" s="17"/>
      <c r="U1711" s="17"/>
      <c r="V1711" s="17"/>
      <c r="W1711" s="17"/>
      <c r="X1711" s="17"/>
      <c r="Y1711" s="229">
        <f t="shared" si="539"/>
        <v>8.9933333333333341</v>
      </c>
      <c r="Z1711" s="19">
        <f t="shared" si="540"/>
        <v>8.9933333333333341</v>
      </c>
      <c r="AA1711" s="22">
        <v>13490000</v>
      </c>
      <c r="AB1711" s="19">
        <f t="shared" si="541"/>
        <v>8.9933333333333341</v>
      </c>
      <c r="AC1711" s="17">
        <f t="shared" si="525"/>
        <v>13490000</v>
      </c>
      <c r="AD1711" s="19">
        <f t="shared" si="542"/>
        <v>8.9933333333333341</v>
      </c>
    </row>
    <row r="1712" spans="2:30" ht="27">
      <c r="B1712" s="13">
        <f t="shared" si="523"/>
        <v>31</v>
      </c>
      <c r="C1712" s="74" t="s">
        <v>617</v>
      </c>
      <c r="D1712" s="74" t="s">
        <v>1873</v>
      </c>
      <c r="E1712" s="204"/>
      <c r="F1712" s="204"/>
      <c r="G1712" s="193"/>
      <c r="H1712" s="89"/>
      <c r="I1712" s="89"/>
      <c r="J1712" s="15">
        <v>79233000</v>
      </c>
      <c r="K1712" s="99">
        <v>79233000</v>
      </c>
      <c r="L1712" s="13"/>
      <c r="M1712" s="17"/>
      <c r="N1712" s="17"/>
      <c r="O1712" s="17"/>
      <c r="P1712" s="17"/>
      <c r="Q1712" s="17"/>
      <c r="R1712" s="17"/>
      <c r="S1712" s="17"/>
      <c r="T1712" s="17"/>
      <c r="U1712" s="17"/>
      <c r="V1712" s="17"/>
      <c r="W1712" s="17"/>
      <c r="X1712" s="17"/>
      <c r="Y1712" s="13">
        <v>100</v>
      </c>
      <c r="Z1712" s="19">
        <v>100</v>
      </c>
      <c r="AA1712" s="22">
        <v>58396500</v>
      </c>
      <c r="AB1712" s="19">
        <f t="shared" si="541"/>
        <v>73.702245276589295</v>
      </c>
      <c r="AC1712" s="22">
        <f t="shared" si="525"/>
        <v>58396500</v>
      </c>
      <c r="AD1712" s="19">
        <f t="shared" si="542"/>
        <v>73.702245276589295</v>
      </c>
    </row>
    <row r="1713" spans="2:30">
      <c r="B1713" s="13">
        <f t="shared" si="523"/>
        <v>32</v>
      </c>
      <c r="C1713" s="74" t="s">
        <v>771</v>
      </c>
      <c r="D1713" s="74" t="s">
        <v>955</v>
      </c>
      <c r="E1713" s="204"/>
      <c r="F1713" s="204"/>
      <c r="G1713" s="193"/>
      <c r="H1713" s="89"/>
      <c r="I1713" s="89"/>
      <c r="J1713" s="15">
        <v>55780000</v>
      </c>
      <c r="K1713" s="99">
        <v>55780000</v>
      </c>
      <c r="L1713" s="13"/>
      <c r="M1713" s="17"/>
      <c r="N1713" s="17"/>
      <c r="O1713" s="17"/>
      <c r="P1713" s="17"/>
      <c r="Q1713" s="17"/>
      <c r="R1713" s="17"/>
      <c r="S1713" s="17"/>
      <c r="T1713" s="17"/>
      <c r="U1713" s="17"/>
      <c r="V1713" s="17"/>
      <c r="W1713" s="17"/>
      <c r="X1713" s="17"/>
      <c r="Y1713" s="13">
        <v>100</v>
      </c>
      <c r="Z1713" s="19">
        <v>100</v>
      </c>
      <c r="AA1713" s="22">
        <v>24549000</v>
      </c>
      <c r="AB1713" s="19">
        <f t="shared" si="541"/>
        <v>44.010397992111869</v>
      </c>
      <c r="AC1713" s="17">
        <f t="shared" si="525"/>
        <v>24549000</v>
      </c>
      <c r="AD1713" s="19">
        <f t="shared" si="542"/>
        <v>44.010397992111869</v>
      </c>
    </row>
    <row r="1714" spans="2:30">
      <c r="B1714" s="13">
        <f t="shared" si="523"/>
        <v>33</v>
      </c>
      <c r="C1714" s="74" t="s">
        <v>383</v>
      </c>
      <c r="D1714" s="74" t="s">
        <v>956</v>
      </c>
      <c r="E1714" s="204"/>
      <c r="F1714" s="204"/>
      <c r="G1714" s="193"/>
      <c r="H1714" s="89"/>
      <c r="I1714" s="89"/>
      <c r="J1714" s="15">
        <v>144335000</v>
      </c>
      <c r="K1714" s="99">
        <v>0</v>
      </c>
      <c r="L1714" s="13"/>
      <c r="M1714" s="17"/>
      <c r="N1714" s="17"/>
      <c r="O1714" s="17"/>
      <c r="P1714" s="17"/>
      <c r="Q1714" s="17"/>
      <c r="R1714" s="17"/>
      <c r="S1714" s="17"/>
      <c r="T1714" s="17"/>
      <c r="U1714" s="17"/>
      <c r="V1714" s="17"/>
      <c r="W1714" s="17"/>
      <c r="X1714" s="17"/>
      <c r="Y1714" s="13">
        <v>75</v>
      </c>
      <c r="Z1714" s="19">
        <v>0</v>
      </c>
      <c r="AA1714" s="22"/>
      <c r="AB1714" s="19">
        <v>0</v>
      </c>
      <c r="AC1714" s="17">
        <f t="shared" si="525"/>
        <v>0</v>
      </c>
      <c r="AD1714" s="19"/>
    </row>
    <row r="1715" spans="2:30" ht="27">
      <c r="B1715" s="13">
        <f t="shared" si="523"/>
        <v>34</v>
      </c>
      <c r="C1715" s="74" t="s">
        <v>385</v>
      </c>
      <c r="D1715" s="74" t="s">
        <v>957</v>
      </c>
      <c r="E1715" s="204"/>
      <c r="F1715" s="204"/>
      <c r="G1715" s="193"/>
      <c r="H1715" s="89"/>
      <c r="I1715" s="89"/>
      <c r="J1715" s="15">
        <v>42069000</v>
      </c>
      <c r="K1715" s="99">
        <v>42069000</v>
      </c>
      <c r="L1715" s="13"/>
      <c r="M1715" s="17"/>
      <c r="N1715" s="17"/>
      <c r="O1715" s="17"/>
      <c r="P1715" s="17"/>
      <c r="Q1715" s="17"/>
      <c r="R1715" s="17"/>
      <c r="S1715" s="17"/>
      <c r="T1715" s="17"/>
      <c r="U1715" s="17"/>
      <c r="V1715" s="17"/>
      <c r="W1715" s="17"/>
      <c r="X1715" s="17"/>
      <c r="Y1715" s="13">
        <v>100</v>
      </c>
      <c r="Z1715" s="19">
        <v>100</v>
      </c>
      <c r="AA1715" s="22">
        <v>11121000</v>
      </c>
      <c r="AB1715" s="19">
        <f t="shared" si="541"/>
        <v>26.435142266276827</v>
      </c>
      <c r="AC1715" s="17">
        <f t="shared" si="525"/>
        <v>11121000</v>
      </c>
      <c r="AD1715" s="19">
        <f t="shared" si="542"/>
        <v>26.435142266276827</v>
      </c>
    </row>
    <row r="1716" spans="2:30">
      <c r="B1716" s="13">
        <f t="shared" si="523"/>
        <v>35</v>
      </c>
      <c r="C1716" s="74" t="s">
        <v>621</v>
      </c>
      <c r="D1716" s="74" t="s">
        <v>958</v>
      </c>
      <c r="E1716" s="204"/>
      <c r="F1716" s="204"/>
      <c r="G1716" s="193"/>
      <c r="H1716" s="89"/>
      <c r="I1716" s="89"/>
      <c r="J1716" s="15">
        <v>55000000</v>
      </c>
      <c r="K1716" s="99">
        <v>55000000</v>
      </c>
      <c r="L1716" s="13"/>
      <c r="M1716" s="17"/>
      <c r="N1716" s="17"/>
      <c r="O1716" s="17"/>
      <c r="P1716" s="17"/>
      <c r="Q1716" s="17"/>
      <c r="R1716" s="17"/>
      <c r="S1716" s="17"/>
      <c r="T1716" s="17"/>
      <c r="U1716" s="17"/>
      <c r="V1716" s="17"/>
      <c r="W1716" s="17"/>
      <c r="X1716" s="17"/>
      <c r="Y1716" s="13">
        <v>100</v>
      </c>
      <c r="Z1716" s="19">
        <v>100</v>
      </c>
      <c r="AA1716" s="22">
        <v>44366000</v>
      </c>
      <c r="AB1716" s="19">
        <f t="shared" si="541"/>
        <v>80.665454545454537</v>
      </c>
      <c r="AC1716" s="17">
        <f t="shared" si="525"/>
        <v>44366000</v>
      </c>
      <c r="AD1716" s="19">
        <f t="shared" si="542"/>
        <v>80.665454545454537</v>
      </c>
    </row>
    <row r="1717" spans="2:30">
      <c r="B1717" s="13">
        <f t="shared" si="523"/>
        <v>36</v>
      </c>
      <c r="C1717" s="74" t="s">
        <v>623</v>
      </c>
      <c r="D1717" s="74" t="s">
        <v>959</v>
      </c>
      <c r="E1717" s="204"/>
      <c r="F1717" s="204"/>
      <c r="G1717" s="193"/>
      <c r="H1717" s="89"/>
      <c r="I1717" s="89"/>
      <c r="J1717" s="15">
        <v>35200000</v>
      </c>
      <c r="K1717" s="99">
        <v>35200000</v>
      </c>
      <c r="L1717" s="13"/>
      <c r="M1717" s="17"/>
      <c r="N1717" s="17"/>
      <c r="O1717" s="17"/>
      <c r="P1717" s="17"/>
      <c r="Q1717" s="17"/>
      <c r="R1717" s="17"/>
      <c r="S1717" s="17"/>
      <c r="T1717" s="17"/>
      <c r="U1717" s="17"/>
      <c r="V1717" s="17"/>
      <c r="W1717" s="17"/>
      <c r="X1717" s="17"/>
      <c r="Y1717" s="229">
        <f>AB1717</f>
        <v>62.344923295454549</v>
      </c>
      <c r="Z1717" s="19">
        <f>AD1717</f>
        <v>62.344923295454549</v>
      </c>
      <c r="AA1717" s="162">
        <v>21945413</v>
      </c>
      <c r="AB1717" s="19">
        <f t="shared" si="541"/>
        <v>62.344923295454549</v>
      </c>
      <c r="AC1717" s="22">
        <f t="shared" si="525"/>
        <v>21945413</v>
      </c>
      <c r="AD1717" s="19">
        <f t="shared" si="542"/>
        <v>62.344923295454549</v>
      </c>
    </row>
    <row r="1718" spans="2:30" ht="40.5">
      <c r="B1718" s="13">
        <f t="shared" si="523"/>
        <v>37</v>
      </c>
      <c r="C1718" s="74" t="s">
        <v>960</v>
      </c>
      <c r="D1718" s="74" t="s">
        <v>961</v>
      </c>
      <c r="E1718" s="204"/>
      <c r="F1718" s="204"/>
      <c r="G1718" s="193"/>
      <c r="H1718" s="89"/>
      <c r="I1718" s="89"/>
      <c r="J1718" s="15">
        <v>25000000</v>
      </c>
      <c r="K1718" s="99">
        <v>25000000</v>
      </c>
      <c r="L1718" s="13"/>
      <c r="M1718" s="17"/>
      <c r="N1718" s="17"/>
      <c r="O1718" s="17"/>
      <c r="P1718" s="17"/>
      <c r="Q1718" s="17"/>
      <c r="R1718" s="17"/>
      <c r="S1718" s="17"/>
      <c r="T1718" s="17"/>
      <c r="U1718" s="17"/>
      <c r="V1718" s="17"/>
      <c r="W1718" s="17"/>
      <c r="X1718" s="17"/>
      <c r="Y1718" s="13">
        <v>100</v>
      </c>
      <c r="Z1718" s="19">
        <v>100</v>
      </c>
      <c r="AA1718" s="83"/>
      <c r="AB1718" s="19">
        <f t="shared" si="541"/>
        <v>0</v>
      </c>
      <c r="AC1718" s="17">
        <f t="shared" si="525"/>
        <v>0</v>
      </c>
      <c r="AD1718" s="19">
        <f t="shared" si="542"/>
        <v>0</v>
      </c>
    </row>
    <row r="1719" spans="2:30" ht="27">
      <c r="B1719" s="13">
        <f>B1718+1</f>
        <v>38</v>
      </c>
      <c r="C1719" s="74" t="s">
        <v>388</v>
      </c>
      <c r="D1719" s="74" t="s">
        <v>962</v>
      </c>
      <c r="E1719" s="204"/>
      <c r="F1719" s="204"/>
      <c r="G1719" s="193"/>
      <c r="H1719" s="89"/>
      <c r="I1719" s="89"/>
      <c r="J1719" s="15">
        <v>42000000</v>
      </c>
      <c r="K1719" s="99">
        <v>42000000</v>
      </c>
      <c r="L1719" s="13"/>
      <c r="M1719" s="17"/>
      <c r="N1719" s="17"/>
      <c r="O1719" s="17"/>
      <c r="P1719" s="17"/>
      <c r="Q1719" s="17"/>
      <c r="R1719" s="17"/>
      <c r="S1719" s="17"/>
      <c r="T1719" s="17"/>
      <c r="U1719" s="17"/>
      <c r="V1719" s="17"/>
      <c r="W1719" s="17"/>
      <c r="X1719" s="17"/>
      <c r="Y1719" s="13">
        <v>100</v>
      </c>
      <c r="Z1719" s="19">
        <v>100</v>
      </c>
      <c r="AA1719" s="22">
        <v>19970300</v>
      </c>
      <c r="AB1719" s="19">
        <f t="shared" si="541"/>
        <v>47.548333333333332</v>
      </c>
      <c r="AC1719" s="22">
        <f t="shared" si="525"/>
        <v>19970300</v>
      </c>
      <c r="AD1719" s="19">
        <f t="shared" si="542"/>
        <v>47.548333333333332</v>
      </c>
    </row>
    <row r="1720" spans="2:30">
      <c r="B1720" s="13">
        <f>B1719+1</f>
        <v>39</v>
      </c>
      <c r="C1720" s="74" t="s">
        <v>396</v>
      </c>
      <c r="D1720" s="74" t="s">
        <v>963</v>
      </c>
      <c r="E1720" s="204"/>
      <c r="F1720" s="204"/>
      <c r="G1720" s="193"/>
      <c r="H1720" s="89"/>
      <c r="I1720" s="89"/>
      <c r="J1720" s="15">
        <v>555666000</v>
      </c>
      <c r="K1720" s="99">
        <v>555666000</v>
      </c>
      <c r="L1720" s="13"/>
      <c r="M1720" s="17"/>
      <c r="N1720" s="17"/>
      <c r="O1720" s="17"/>
      <c r="P1720" s="17"/>
      <c r="Q1720" s="17"/>
      <c r="R1720" s="17"/>
      <c r="S1720" s="17"/>
      <c r="T1720" s="17"/>
      <c r="U1720" s="17"/>
      <c r="V1720" s="17"/>
      <c r="W1720" s="17"/>
      <c r="X1720" s="17"/>
      <c r="Y1720" s="229">
        <f>AB1720</f>
        <v>77.471724561157245</v>
      </c>
      <c r="Z1720" s="19">
        <f>AD1720</f>
        <v>77.471724561157245</v>
      </c>
      <c r="AA1720" s="22">
        <v>430484033</v>
      </c>
      <c r="AB1720" s="19">
        <f t="shared" si="541"/>
        <v>77.471724561157245</v>
      </c>
      <c r="AC1720" s="22">
        <f t="shared" si="525"/>
        <v>430484033</v>
      </c>
      <c r="AD1720" s="19">
        <f t="shared" si="542"/>
        <v>77.471724561157245</v>
      </c>
    </row>
    <row r="1721" spans="2:30" ht="16.5" customHeight="1">
      <c r="B1721" s="13">
        <f t="shared" si="523"/>
        <v>40</v>
      </c>
      <c r="C1721" s="74" t="s">
        <v>398</v>
      </c>
      <c r="D1721" s="74" t="s">
        <v>964</v>
      </c>
      <c r="E1721" s="204"/>
      <c r="F1721" s="204"/>
      <c r="G1721" s="193"/>
      <c r="H1721" s="89"/>
      <c r="I1721" s="89"/>
      <c r="J1721" s="15">
        <v>150000000</v>
      </c>
      <c r="K1721" s="99">
        <v>150000000</v>
      </c>
      <c r="L1721" s="13"/>
      <c r="M1721" s="17"/>
      <c r="N1721" s="17"/>
      <c r="O1721" s="17"/>
      <c r="P1721" s="17"/>
      <c r="Q1721" s="17"/>
      <c r="R1721" s="17"/>
      <c r="S1721" s="17"/>
      <c r="T1721" s="17"/>
      <c r="U1721" s="17"/>
      <c r="V1721" s="17"/>
      <c r="W1721" s="17"/>
      <c r="X1721" s="17"/>
      <c r="Y1721" s="229">
        <f>AB1721</f>
        <v>99.574666666666673</v>
      </c>
      <c r="Z1721" s="19">
        <f>AD1721</f>
        <v>99.574666666666673</v>
      </c>
      <c r="AA1721" s="22">
        <v>149362000</v>
      </c>
      <c r="AB1721" s="19">
        <f t="shared" si="541"/>
        <v>99.574666666666673</v>
      </c>
      <c r="AC1721" s="22">
        <f t="shared" si="525"/>
        <v>149362000</v>
      </c>
      <c r="AD1721" s="19">
        <f t="shared" si="542"/>
        <v>99.574666666666673</v>
      </c>
    </row>
    <row r="1722" spans="2:30">
      <c r="B1722" s="13">
        <f>B1721+1</f>
        <v>41</v>
      </c>
      <c r="C1722" s="74" t="s">
        <v>965</v>
      </c>
      <c r="D1722" s="74" t="s">
        <v>966</v>
      </c>
      <c r="E1722" s="204"/>
      <c r="F1722" s="204"/>
      <c r="G1722" s="193"/>
      <c r="H1722" s="89"/>
      <c r="I1722" s="89"/>
      <c r="J1722" s="15">
        <v>35000000</v>
      </c>
      <c r="K1722" s="99">
        <v>35000000</v>
      </c>
      <c r="L1722" s="13"/>
      <c r="M1722" s="17"/>
      <c r="N1722" s="17"/>
      <c r="O1722" s="17"/>
      <c r="P1722" s="17"/>
      <c r="Q1722" s="17"/>
      <c r="R1722" s="17"/>
      <c r="S1722" s="17"/>
      <c r="T1722" s="17"/>
      <c r="U1722" s="17"/>
      <c r="V1722" s="17"/>
      <c r="W1722" s="17"/>
      <c r="X1722" s="17"/>
      <c r="Y1722" s="229">
        <f>AB1722</f>
        <v>87.860200000000006</v>
      </c>
      <c r="Z1722" s="19">
        <f>AD1722</f>
        <v>87.860200000000006</v>
      </c>
      <c r="AA1722" s="22">
        <v>30751070</v>
      </c>
      <c r="AB1722" s="19">
        <f t="shared" si="541"/>
        <v>87.860200000000006</v>
      </c>
      <c r="AC1722" s="22">
        <f t="shared" si="525"/>
        <v>30751070</v>
      </c>
      <c r="AD1722" s="19">
        <f t="shared" si="542"/>
        <v>87.860200000000006</v>
      </c>
    </row>
    <row r="1723" spans="2:30" ht="27">
      <c r="B1723" s="13">
        <f t="shared" si="523"/>
        <v>42</v>
      </c>
      <c r="C1723" s="74" t="s">
        <v>400</v>
      </c>
      <c r="D1723" s="74" t="s">
        <v>967</v>
      </c>
      <c r="E1723" s="204"/>
      <c r="F1723" s="204"/>
      <c r="G1723" s="193"/>
      <c r="H1723" s="89"/>
      <c r="I1723" s="89"/>
      <c r="J1723" s="15">
        <v>110000000</v>
      </c>
      <c r="K1723" s="99">
        <v>110000000</v>
      </c>
      <c r="L1723" s="13"/>
      <c r="M1723" s="17"/>
      <c r="N1723" s="17"/>
      <c r="O1723" s="17"/>
      <c r="P1723" s="17"/>
      <c r="Q1723" s="17"/>
      <c r="R1723" s="17"/>
      <c r="S1723" s="17"/>
      <c r="T1723" s="17"/>
      <c r="U1723" s="17"/>
      <c r="V1723" s="17"/>
      <c r="W1723" s="17"/>
      <c r="X1723" s="17"/>
      <c r="Y1723" s="229">
        <f>AB1723</f>
        <v>92.537610000000001</v>
      </c>
      <c r="Z1723" s="19">
        <f>AD1723</f>
        <v>92.537610000000001</v>
      </c>
      <c r="AA1723" s="22">
        <v>101791371</v>
      </c>
      <c r="AB1723" s="19">
        <f t="shared" si="541"/>
        <v>92.537610000000001</v>
      </c>
      <c r="AC1723" s="22">
        <f t="shared" si="525"/>
        <v>101791371</v>
      </c>
      <c r="AD1723" s="19">
        <f t="shared" si="542"/>
        <v>92.537610000000001</v>
      </c>
    </row>
    <row r="1724" spans="2:30" ht="27.75" customHeight="1">
      <c r="B1724" s="13">
        <f>B1723+1</f>
        <v>43</v>
      </c>
      <c r="C1724" s="74" t="s">
        <v>404</v>
      </c>
      <c r="D1724" s="74" t="s">
        <v>968</v>
      </c>
      <c r="E1724" s="204"/>
      <c r="F1724" s="204"/>
      <c r="G1724" s="193"/>
      <c r="H1724" s="89"/>
      <c r="I1724" s="89"/>
      <c r="J1724" s="15">
        <v>68861000</v>
      </c>
      <c r="K1724" s="99">
        <v>49891000</v>
      </c>
      <c r="L1724" s="13"/>
      <c r="M1724" s="17"/>
      <c r="N1724" s="17"/>
      <c r="O1724" s="17"/>
      <c r="P1724" s="17"/>
      <c r="Q1724" s="17"/>
      <c r="R1724" s="17"/>
      <c r="S1724" s="17"/>
      <c r="T1724" s="17"/>
      <c r="U1724" s="17"/>
      <c r="V1724" s="17"/>
      <c r="W1724" s="17"/>
      <c r="X1724" s="17"/>
      <c r="Y1724" s="13">
        <v>100</v>
      </c>
      <c r="Z1724" s="19">
        <v>80</v>
      </c>
      <c r="AA1724" s="22">
        <v>37941700</v>
      </c>
      <c r="AB1724" s="19">
        <f t="shared" si="541"/>
        <v>76.049187228157379</v>
      </c>
      <c r="AC1724" s="20">
        <f>AA1724</f>
        <v>37941700</v>
      </c>
      <c r="AD1724" s="19">
        <f t="shared" si="542"/>
        <v>76.049187228157379</v>
      </c>
    </row>
    <row r="1725" spans="2:30" ht="16.5" customHeight="1">
      <c r="B1725" s="13">
        <f t="shared" ref="B1725:B1727" si="543">B1724+1</f>
        <v>44</v>
      </c>
      <c r="C1725" s="81">
        <v>16.027999999999999</v>
      </c>
      <c r="D1725" s="21" t="s">
        <v>969</v>
      </c>
      <c r="E1725" s="204"/>
      <c r="F1725" s="204"/>
      <c r="G1725" s="193"/>
      <c r="H1725" s="89"/>
      <c r="I1725" s="89"/>
      <c r="J1725" s="15">
        <v>65000000</v>
      </c>
      <c r="K1725" s="99">
        <v>125000000</v>
      </c>
      <c r="L1725" s="13"/>
      <c r="M1725" s="17"/>
      <c r="N1725" s="17"/>
      <c r="O1725" s="17"/>
      <c r="P1725" s="17"/>
      <c r="Q1725" s="17"/>
      <c r="R1725" s="17"/>
      <c r="S1725" s="17"/>
      <c r="T1725" s="17"/>
      <c r="U1725" s="17"/>
      <c r="V1725" s="17"/>
      <c r="W1725" s="17"/>
      <c r="X1725" s="17"/>
      <c r="Y1725" s="13">
        <v>100</v>
      </c>
      <c r="Z1725" s="19">
        <v>100</v>
      </c>
      <c r="AA1725" s="22">
        <v>14096000</v>
      </c>
      <c r="AB1725" s="19">
        <f t="shared" si="541"/>
        <v>11.2768</v>
      </c>
      <c r="AC1725" s="20">
        <f t="shared" ref="AC1725:AC1727" si="544">AA1725</f>
        <v>14096000</v>
      </c>
      <c r="AD1725" s="19">
        <f t="shared" si="542"/>
        <v>11.2768</v>
      </c>
    </row>
    <row r="1726" spans="2:30" ht="16.5" customHeight="1">
      <c r="B1726" s="13">
        <f t="shared" si="543"/>
        <v>45</v>
      </c>
      <c r="C1726" s="81">
        <v>16.029</v>
      </c>
      <c r="D1726" s="21" t="s">
        <v>970</v>
      </c>
      <c r="E1726" s="204"/>
      <c r="F1726" s="204"/>
      <c r="G1726" s="193"/>
      <c r="H1726" s="89"/>
      <c r="I1726" s="89"/>
      <c r="J1726" s="15">
        <v>50625000</v>
      </c>
      <c r="K1726" s="99">
        <v>50625000</v>
      </c>
      <c r="L1726" s="13"/>
      <c r="M1726" s="17"/>
      <c r="N1726" s="17"/>
      <c r="O1726" s="17"/>
      <c r="P1726" s="17"/>
      <c r="Q1726" s="17"/>
      <c r="R1726" s="17"/>
      <c r="S1726" s="17"/>
      <c r="T1726" s="17"/>
      <c r="U1726" s="17"/>
      <c r="V1726" s="17"/>
      <c r="W1726" s="17"/>
      <c r="X1726" s="17"/>
      <c r="Y1726" s="13">
        <v>100</v>
      </c>
      <c r="Z1726" s="19">
        <v>100</v>
      </c>
      <c r="AA1726" s="22">
        <v>56445000</v>
      </c>
      <c r="AB1726" s="19">
        <f t="shared" si="541"/>
        <v>111.49629629629629</v>
      </c>
      <c r="AC1726" s="20">
        <f t="shared" si="544"/>
        <v>56445000</v>
      </c>
      <c r="AD1726" s="19">
        <f t="shared" si="542"/>
        <v>111.49629629629629</v>
      </c>
    </row>
    <row r="1727" spans="2:30" ht="20.25" customHeight="1">
      <c r="B1727" s="13">
        <f t="shared" si="543"/>
        <v>46</v>
      </c>
      <c r="C1727" s="164" t="s">
        <v>414</v>
      </c>
      <c r="D1727" s="21" t="s">
        <v>971</v>
      </c>
      <c r="E1727" s="204"/>
      <c r="F1727" s="204"/>
      <c r="G1727" s="193"/>
      <c r="H1727" s="89"/>
      <c r="I1727" s="89"/>
      <c r="J1727" s="15">
        <v>30000000</v>
      </c>
      <c r="K1727" s="99">
        <v>30000000</v>
      </c>
      <c r="L1727" s="13"/>
      <c r="M1727" s="17"/>
      <c r="N1727" s="17"/>
      <c r="O1727" s="17"/>
      <c r="P1727" s="17"/>
      <c r="Q1727" s="17"/>
      <c r="R1727" s="17"/>
      <c r="S1727" s="17"/>
      <c r="T1727" s="17"/>
      <c r="U1727" s="17"/>
      <c r="V1727" s="17"/>
      <c r="W1727" s="17"/>
      <c r="X1727" s="17"/>
      <c r="Y1727" s="13">
        <v>100</v>
      </c>
      <c r="Z1727" s="19">
        <v>100</v>
      </c>
      <c r="AA1727" s="22">
        <v>15082000</v>
      </c>
      <c r="AB1727" s="19">
        <f t="shared" si="541"/>
        <v>50.273333333333333</v>
      </c>
      <c r="AC1727" s="20">
        <f t="shared" si="544"/>
        <v>15082000</v>
      </c>
      <c r="AD1727" s="19">
        <f t="shared" si="542"/>
        <v>50.273333333333333</v>
      </c>
    </row>
    <row r="1728" spans="2:30" ht="40.5">
      <c r="B1728" s="13"/>
      <c r="C1728" s="86" t="s">
        <v>972</v>
      </c>
      <c r="D1728" s="86" t="s">
        <v>973</v>
      </c>
      <c r="E1728" s="485"/>
      <c r="F1728" s="485"/>
      <c r="G1728" s="441"/>
      <c r="H1728" s="87" t="s">
        <v>1</v>
      </c>
      <c r="I1728" s="87"/>
      <c r="J1728" s="209"/>
      <c r="K1728" s="16"/>
      <c r="L1728" s="13"/>
      <c r="M1728" s="17"/>
      <c r="N1728" s="17"/>
      <c r="O1728" s="17"/>
      <c r="P1728" s="17"/>
      <c r="Q1728" s="17"/>
      <c r="R1728" s="17"/>
      <c r="S1728" s="17"/>
      <c r="T1728" s="17"/>
      <c r="U1728" s="17"/>
      <c r="V1728" s="17"/>
      <c r="W1728" s="17"/>
      <c r="X1728" s="17"/>
      <c r="Y1728" s="153"/>
      <c r="Z1728" s="227"/>
      <c r="AA1728" s="232"/>
      <c r="AB1728" s="19"/>
      <c r="AC1728" s="233"/>
      <c r="AD1728" s="19"/>
    </row>
    <row r="1729" spans="2:30">
      <c r="B1729" s="13">
        <f>B1727+1</f>
        <v>47</v>
      </c>
      <c r="C1729" s="74" t="s">
        <v>238</v>
      </c>
      <c r="D1729" s="74" t="s">
        <v>974</v>
      </c>
      <c r="E1729" s="204"/>
      <c r="F1729" s="204"/>
      <c r="G1729" s="193"/>
      <c r="H1729" s="89"/>
      <c r="I1729" s="89"/>
      <c r="J1729" s="15">
        <v>740666000</v>
      </c>
      <c r="K1729" s="99">
        <v>718418000</v>
      </c>
      <c r="L1729" s="13"/>
      <c r="M1729" s="17"/>
      <c r="N1729" s="17"/>
      <c r="O1729" s="17"/>
      <c r="P1729" s="17"/>
      <c r="Q1729" s="17"/>
      <c r="R1729" s="17"/>
      <c r="S1729" s="17"/>
      <c r="T1729" s="17"/>
      <c r="U1729" s="17"/>
      <c r="V1729" s="17"/>
      <c r="W1729" s="17"/>
      <c r="X1729" s="17"/>
      <c r="Y1729" s="13">
        <v>100</v>
      </c>
      <c r="Z1729" s="19">
        <v>90</v>
      </c>
      <c r="AA1729" s="22">
        <v>663378000</v>
      </c>
      <c r="AB1729" s="19">
        <f>AA1729/K1729*100</f>
        <v>92.33872202533901</v>
      </c>
      <c r="AC1729" s="22">
        <f t="shared" si="525"/>
        <v>663378000</v>
      </c>
      <c r="AD1729" s="19">
        <f>AC1729/K1729*100</f>
        <v>92.33872202533901</v>
      </c>
    </row>
    <row r="1730" spans="2:30" ht="27">
      <c r="B1730" s="13">
        <f t="shared" si="523"/>
        <v>48</v>
      </c>
      <c r="C1730" s="74" t="s">
        <v>240</v>
      </c>
      <c r="D1730" s="74" t="s">
        <v>975</v>
      </c>
      <c r="E1730" s="204"/>
      <c r="F1730" s="204"/>
      <c r="G1730" s="193"/>
      <c r="H1730" s="89"/>
      <c r="I1730" s="89"/>
      <c r="J1730" s="15">
        <v>75000000</v>
      </c>
      <c r="K1730" s="99">
        <v>75000000</v>
      </c>
      <c r="L1730" s="13"/>
      <c r="M1730" s="17"/>
      <c r="N1730" s="17"/>
      <c r="O1730" s="17"/>
      <c r="P1730" s="17"/>
      <c r="Q1730" s="17"/>
      <c r="R1730" s="17"/>
      <c r="S1730" s="17"/>
      <c r="T1730" s="17"/>
      <c r="U1730" s="17"/>
      <c r="V1730" s="17"/>
      <c r="W1730" s="17"/>
      <c r="X1730" s="17"/>
      <c r="Y1730" s="13">
        <v>100</v>
      </c>
      <c r="Z1730" s="19">
        <v>80</v>
      </c>
      <c r="AA1730" s="22">
        <v>70665900</v>
      </c>
      <c r="AB1730" s="19">
        <f>AA1730/K1730*100</f>
        <v>94.22120000000001</v>
      </c>
      <c r="AC1730" s="22">
        <f t="shared" si="525"/>
        <v>70665900</v>
      </c>
      <c r="AD1730" s="19">
        <f>AC1730/K1730*100</f>
        <v>94.22120000000001</v>
      </c>
    </row>
    <row r="1731" spans="2:30" ht="27">
      <c r="B1731" s="13">
        <f t="shared" si="523"/>
        <v>49</v>
      </c>
      <c r="C1731" s="74" t="s">
        <v>736</v>
      </c>
      <c r="D1731" s="74" t="s">
        <v>976</v>
      </c>
      <c r="E1731" s="204"/>
      <c r="F1731" s="204"/>
      <c r="G1731" s="193"/>
      <c r="H1731" s="89"/>
      <c r="I1731" s="89"/>
      <c r="J1731" s="15">
        <v>25000000</v>
      </c>
      <c r="K1731" s="99">
        <v>23382000</v>
      </c>
      <c r="L1731" s="13"/>
      <c r="M1731" s="17"/>
      <c r="N1731" s="17"/>
      <c r="O1731" s="17"/>
      <c r="P1731" s="17"/>
      <c r="Q1731" s="17"/>
      <c r="R1731" s="17"/>
      <c r="S1731" s="17"/>
      <c r="T1731" s="17"/>
      <c r="U1731" s="17"/>
      <c r="V1731" s="17"/>
      <c r="W1731" s="17"/>
      <c r="X1731" s="17"/>
      <c r="Y1731" s="13">
        <v>100</v>
      </c>
      <c r="Z1731" s="19">
        <v>50</v>
      </c>
      <c r="AA1731" s="22">
        <v>14582000</v>
      </c>
      <c r="AB1731" s="19">
        <f>AA1731/K1731*100</f>
        <v>62.364211786844578</v>
      </c>
      <c r="AC1731" s="22">
        <f t="shared" si="525"/>
        <v>14582000</v>
      </c>
      <c r="AD1731" s="19">
        <f>AC1731/K1731*100</f>
        <v>62.364211786844578</v>
      </c>
    </row>
    <row r="1732" spans="2:30" ht="27">
      <c r="B1732" s="13"/>
      <c r="C1732" s="86" t="s">
        <v>977</v>
      </c>
      <c r="D1732" s="86" t="s">
        <v>978</v>
      </c>
      <c r="E1732" s="485"/>
      <c r="F1732" s="485"/>
      <c r="G1732" s="441"/>
      <c r="H1732" s="87"/>
      <c r="I1732" s="87"/>
      <c r="J1732" s="209"/>
      <c r="K1732" s="16"/>
      <c r="L1732" s="13"/>
      <c r="M1732" s="17"/>
      <c r="N1732" s="17"/>
      <c r="O1732" s="17"/>
      <c r="P1732" s="17"/>
      <c r="Q1732" s="17"/>
      <c r="R1732" s="17"/>
      <c r="S1732" s="17"/>
      <c r="T1732" s="17"/>
      <c r="U1732" s="17"/>
      <c r="V1732" s="17"/>
      <c r="W1732" s="17"/>
      <c r="X1732" s="17"/>
      <c r="Y1732" s="227"/>
      <c r="Z1732" s="19"/>
      <c r="AA1732" s="228"/>
      <c r="AB1732" s="19"/>
      <c r="AC1732" s="228"/>
      <c r="AD1732" s="19"/>
    </row>
    <row r="1733" spans="2:30">
      <c r="B1733" s="13">
        <f>B1731+1</f>
        <v>50</v>
      </c>
      <c r="C1733" s="74" t="s">
        <v>293</v>
      </c>
      <c r="D1733" s="74" t="s">
        <v>979</v>
      </c>
      <c r="E1733" s="204"/>
      <c r="F1733" s="204"/>
      <c r="G1733" s="193"/>
      <c r="H1733" s="89"/>
      <c r="I1733" s="89"/>
      <c r="J1733" s="15">
        <v>59464000</v>
      </c>
      <c r="K1733" s="99">
        <v>108464000</v>
      </c>
      <c r="L1733" s="13"/>
      <c r="M1733" s="17"/>
      <c r="N1733" s="17"/>
      <c r="O1733" s="17"/>
      <c r="P1733" s="17"/>
      <c r="Q1733" s="17"/>
      <c r="R1733" s="17"/>
      <c r="S1733" s="17"/>
      <c r="T1733" s="17"/>
      <c r="U1733" s="17"/>
      <c r="V1733" s="17"/>
      <c r="W1733" s="17"/>
      <c r="X1733" s="17"/>
      <c r="Y1733" s="229">
        <v>100</v>
      </c>
      <c r="Z1733" s="19">
        <v>100</v>
      </c>
      <c r="AA1733" s="22">
        <v>69404600</v>
      </c>
      <c r="AB1733" s="19">
        <f>AA1733/K1733*100</f>
        <v>63.988604513940103</v>
      </c>
      <c r="AC1733" s="22">
        <f t="shared" si="525"/>
        <v>69404600</v>
      </c>
      <c r="AD1733" s="19">
        <f>AC1733/K1733*100</f>
        <v>63.988604513940103</v>
      </c>
    </row>
    <row r="1734" spans="2:30" ht="27">
      <c r="B1734" s="13">
        <f t="shared" si="523"/>
        <v>51</v>
      </c>
      <c r="C1734" s="74" t="s">
        <v>295</v>
      </c>
      <c r="D1734" s="74" t="s">
        <v>980</v>
      </c>
      <c r="E1734" s="204"/>
      <c r="F1734" s="204"/>
      <c r="G1734" s="193"/>
      <c r="H1734" s="89"/>
      <c r="I1734" s="89"/>
      <c r="J1734" s="15">
        <v>136491000</v>
      </c>
      <c r="K1734" s="99">
        <v>136491000</v>
      </c>
      <c r="L1734" s="13"/>
      <c r="M1734" s="17"/>
      <c r="N1734" s="17"/>
      <c r="O1734" s="17"/>
      <c r="P1734" s="17"/>
      <c r="Q1734" s="17"/>
      <c r="R1734" s="17"/>
      <c r="S1734" s="17"/>
      <c r="T1734" s="17"/>
      <c r="U1734" s="17"/>
      <c r="V1734" s="17"/>
      <c r="W1734" s="17"/>
      <c r="X1734" s="17"/>
      <c r="Y1734" s="229">
        <v>100</v>
      </c>
      <c r="Z1734" s="19">
        <v>100</v>
      </c>
      <c r="AA1734" s="22">
        <v>129816700</v>
      </c>
      <c r="AB1734" s="19">
        <f t="shared" ref="AB1734:AB1745" si="545">AA1734/K1734*100</f>
        <v>95.110080518129408</v>
      </c>
      <c r="AC1734" s="22">
        <f t="shared" si="525"/>
        <v>129816700</v>
      </c>
      <c r="AD1734" s="19">
        <f t="shared" ref="AD1734:AD1745" si="546">AC1734/K1734*100</f>
        <v>95.110080518129408</v>
      </c>
    </row>
    <row r="1735" spans="2:30">
      <c r="B1735" s="13">
        <f t="shared" si="523"/>
        <v>52</v>
      </c>
      <c r="C1735" s="74" t="s">
        <v>981</v>
      </c>
      <c r="D1735" s="74" t="s">
        <v>982</v>
      </c>
      <c r="E1735" s="204"/>
      <c r="F1735" s="204"/>
      <c r="G1735" s="193"/>
      <c r="H1735" s="89"/>
      <c r="I1735" s="89"/>
      <c r="J1735" s="15">
        <v>17906000</v>
      </c>
      <c r="K1735" s="99">
        <v>17906000</v>
      </c>
      <c r="L1735" s="13"/>
      <c r="M1735" s="17"/>
      <c r="N1735" s="17"/>
      <c r="O1735" s="17"/>
      <c r="P1735" s="17"/>
      <c r="Q1735" s="17"/>
      <c r="R1735" s="17"/>
      <c r="S1735" s="17"/>
      <c r="T1735" s="17"/>
      <c r="U1735" s="17"/>
      <c r="V1735" s="17"/>
      <c r="W1735" s="17"/>
      <c r="X1735" s="17"/>
      <c r="Y1735" s="13">
        <v>50</v>
      </c>
      <c r="Z1735" s="19">
        <v>25</v>
      </c>
      <c r="AA1735" s="17">
        <v>0</v>
      </c>
      <c r="AB1735" s="19">
        <f t="shared" si="545"/>
        <v>0</v>
      </c>
      <c r="AC1735" s="17">
        <f t="shared" si="525"/>
        <v>0</v>
      </c>
      <c r="AD1735" s="19">
        <f t="shared" si="546"/>
        <v>0</v>
      </c>
    </row>
    <row r="1736" spans="2:30" ht="25.5">
      <c r="B1736" s="13">
        <f t="shared" si="523"/>
        <v>53</v>
      </c>
      <c r="C1736" s="74" t="s">
        <v>983</v>
      </c>
      <c r="D1736" s="21" t="s">
        <v>984</v>
      </c>
      <c r="E1736" s="204"/>
      <c r="F1736" s="204"/>
      <c r="G1736" s="193"/>
      <c r="H1736" s="89"/>
      <c r="I1736" s="89"/>
      <c r="J1736" s="15">
        <v>24500000</v>
      </c>
      <c r="K1736" s="99">
        <v>24500000</v>
      </c>
      <c r="L1736" s="13"/>
      <c r="M1736" s="17"/>
      <c r="N1736" s="17"/>
      <c r="O1736" s="17"/>
      <c r="P1736" s="17"/>
      <c r="Q1736" s="17"/>
      <c r="R1736" s="17"/>
      <c r="S1736" s="17"/>
      <c r="T1736" s="17"/>
      <c r="U1736" s="17"/>
      <c r="V1736" s="17"/>
      <c r="W1736" s="17"/>
      <c r="X1736" s="17"/>
      <c r="Y1736" s="229">
        <v>100</v>
      </c>
      <c r="Z1736" s="19">
        <v>100</v>
      </c>
      <c r="AA1736" s="22">
        <v>19487800</v>
      </c>
      <c r="AB1736" s="19">
        <f t="shared" si="545"/>
        <v>79.542040816326534</v>
      </c>
      <c r="AC1736" s="20">
        <f>AA1736</f>
        <v>19487800</v>
      </c>
      <c r="AD1736" s="19">
        <f t="shared" si="546"/>
        <v>79.542040816326534</v>
      </c>
    </row>
    <row r="1737" spans="2:30" ht="27">
      <c r="B1737" s="13">
        <f t="shared" si="523"/>
        <v>54</v>
      </c>
      <c r="C1737" s="74" t="s">
        <v>985</v>
      </c>
      <c r="D1737" s="74" t="s">
        <v>986</v>
      </c>
      <c r="E1737" s="204"/>
      <c r="F1737" s="204"/>
      <c r="G1737" s="193"/>
      <c r="H1737" s="89"/>
      <c r="I1737" s="89"/>
      <c r="J1737" s="15">
        <v>73100000</v>
      </c>
      <c r="K1737" s="99">
        <v>73100000</v>
      </c>
      <c r="L1737" s="13"/>
      <c r="M1737" s="17"/>
      <c r="N1737" s="17"/>
      <c r="O1737" s="17"/>
      <c r="P1737" s="17"/>
      <c r="Q1737" s="17"/>
      <c r="R1737" s="17"/>
      <c r="S1737" s="17"/>
      <c r="T1737" s="17"/>
      <c r="U1737" s="17"/>
      <c r="V1737" s="17"/>
      <c r="W1737" s="17"/>
      <c r="X1737" s="17"/>
      <c r="Y1737" s="229">
        <v>100</v>
      </c>
      <c r="Z1737" s="19">
        <v>100</v>
      </c>
      <c r="AA1737" s="22">
        <v>69943600</v>
      </c>
      <c r="AB1737" s="19">
        <f t="shared" si="545"/>
        <v>95.68207934336526</v>
      </c>
      <c r="AC1737" s="22">
        <f t="shared" si="525"/>
        <v>69943600</v>
      </c>
      <c r="AD1737" s="19">
        <f t="shared" si="546"/>
        <v>95.68207934336526</v>
      </c>
    </row>
    <row r="1738" spans="2:30" ht="27">
      <c r="B1738" s="13">
        <f t="shared" si="523"/>
        <v>55</v>
      </c>
      <c r="C1738" s="74" t="s">
        <v>987</v>
      </c>
      <c r="D1738" s="74" t="s">
        <v>988</v>
      </c>
      <c r="E1738" s="204"/>
      <c r="F1738" s="204"/>
      <c r="G1738" s="193"/>
      <c r="H1738" s="89"/>
      <c r="I1738" s="89"/>
      <c r="J1738" s="15">
        <v>49588000</v>
      </c>
      <c r="K1738" s="99">
        <v>49588000</v>
      </c>
      <c r="L1738" s="13"/>
      <c r="M1738" s="17"/>
      <c r="N1738" s="17"/>
      <c r="O1738" s="17"/>
      <c r="P1738" s="17"/>
      <c r="Q1738" s="17"/>
      <c r="R1738" s="17"/>
      <c r="S1738" s="17"/>
      <c r="T1738" s="17"/>
      <c r="U1738" s="17"/>
      <c r="V1738" s="17"/>
      <c r="W1738" s="17"/>
      <c r="X1738" s="17"/>
      <c r="Y1738" s="229">
        <v>100</v>
      </c>
      <c r="Z1738" s="19">
        <v>100</v>
      </c>
      <c r="AA1738" s="22">
        <v>49588000</v>
      </c>
      <c r="AB1738" s="19">
        <f t="shared" si="545"/>
        <v>100</v>
      </c>
      <c r="AC1738" s="22">
        <f t="shared" si="525"/>
        <v>49588000</v>
      </c>
      <c r="AD1738" s="19">
        <f t="shared" si="546"/>
        <v>100</v>
      </c>
    </row>
    <row r="1739" spans="2:30" ht="27">
      <c r="B1739" s="13">
        <f t="shared" si="523"/>
        <v>56</v>
      </c>
      <c r="C1739" s="74" t="s">
        <v>989</v>
      </c>
      <c r="D1739" s="74" t="s">
        <v>990</v>
      </c>
      <c r="E1739" s="204"/>
      <c r="F1739" s="204"/>
      <c r="G1739" s="193"/>
      <c r="H1739" s="89"/>
      <c r="I1739" s="89"/>
      <c r="J1739" s="15">
        <v>10000000</v>
      </c>
      <c r="K1739" s="99">
        <v>10000000</v>
      </c>
      <c r="L1739" s="13"/>
      <c r="M1739" s="17"/>
      <c r="N1739" s="17"/>
      <c r="O1739" s="17"/>
      <c r="P1739" s="17"/>
      <c r="Q1739" s="17"/>
      <c r="R1739" s="17"/>
      <c r="S1739" s="17"/>
      <c r="T1739" s="17"/>
      <c r="U1739" s="17"/>
      <c r="V1739" s="17"/>
      <c r="W1739" s="17"/>
      <c r="X1739" s="17"/>
      <c r="Y1739" s="229">
        <v>100</v>
      </c>
      <c r="Z1739" s="19">
        <v>100</v>
      </c>
      <c r="AA1739" s="22">
        <v>10000000</v>
      </c>
      <c r="AB1739" s="19">
        <f t="shared" si="545"/>
        <v>100</v>
      </c>
      <c r="AC1739" s="17">
        <f t="shared" si="525"/>
        <v>10000000</v>
      </c>
      <c r="AD1739" s="19">
        <f t="shared" si="546"/>
        <v>100</v>
      </c>
    </row>
    <row r="1740" spans="2:30">
      <c r="B1740" s="13">
        <f t="shared" si="523"/>
        <v>57</v>
      </c>
      <c r="C1740" s="74" t="s">
        <v>991</v>
      </c>
      <c r="D1740" s="74" t="s">
        <v>992</v>
      </c>
      <c r="E1740" s="204"/>
      <c r="F1740" s="204"/>
      <c r="G1740" s="193"/>
      <c r="H1740" s="89"/>
      <c r="I1740" s="89"/>
      <c r="J1740" s="15">
        <v>18531000</v>
      </c>
      <c r="K1740" s="99">
        <v>18531000</v>
      </c>
      <c r="L1740" s="13"/>
      <c r="M1740" s="17"/>
      <c r="N1740" s="17"/>
      <c r="O1740" s="17"/>
      <c r="P1740" s="17"/>
      <c r="Q1740" s="17"/>
      <c r="R1740" s="17"/>
      <c r="S1740" s="17"/>
      <c r="T1740" s="17"/>
      <c r="U1740" s="17"/>
      <c r="V1740" s="17"/>
      <c r="W1740" s="17"/>
      <c r="X1740" s="17"/>
      <c r="Y1740" s="229">
        <v>100</v>
      </c>
      <c r="Z1740" s="19">
        <v>100</v>
      </c>
      <c r="AA1740" s="22">
        <v>17148000</v>
      </c>
      <c r="AB1740" s="19">
        <f t="shared" si="545"/>
        <v>92.536830176461066</v>
      </c>
      <c r="AC1740" s="22">
        <f t="shared" si="525"/>
        <v>17148000</v>
      </c>
      <c r="AD1740" s="19">
        <f t="shared" si="546"/>
        <v>92.536830176461066</v>
      </c>
    </row>
    <row r="1741" spans="2:30" ht="27">
      <c r="B1741" s="13">
        <f t="shared" si="523"/>
        <v>58</v>
      </c>
      <c r="C1741" s="74" t="s">
        <v>993</v>
      </c>
      <c r="D1741" s="74" t="s">
        <v>994</v>
      </c>
      <c r="E1741" s="204"/>
      <c r="F1741" s="204"/>
      <c r="G1741" s="193"/>
      <c r="H1741" s="89"/>
      <c r="I1741" s="89"/>
      <c r="J1741" s="15">
        <v>18566000</v>
      </c>
      <c r="K1741" s="99">
        <v>18566000</v>
      </c>
      <c r="L1741" s="13"/>
      <c r="M1741" s="17"/>
      <c r="N1741" s="17"/>
      <c r="O1741" s="17"/>
      <c r="P1741" s="17"/>
      <c r="Q1741" s="17"/>
      <c r="R1741" s="17"/>
      <c r="S1741" s="17"/>
      <c r="T1741" s="17"/>
      <c r="U1741" s="17"/>
      <c r="V1741" s="17"/>
      <c r="W1741" s="17"/>
      <c r="X1741" s="17"/>
      <c r="Y1741" s="13">
        <v>100</v>
      </c>
      <c r="Z1741" s="19">
        <v>100</v>
      </c>
      <c r="AA1741" s="22">
        <v>13114800</v>
      </c>
      <c r="AB1741" s="19">
        <f t="shared" si="545"/>
        <v>70.638802111386397</v>
      </c>
      <c r="AC1741" s="17">
        <f t="shared" si="525"/>
        <v>13114800</v>
      </c>
      <c r="AD1741" s="19">
        <f t="shared" si="546"/>
        <v>70.638802111386397</v>
      </c>
    </row>
    <row r="1742" spans="2:30" ht="27">
      <c r="B1742" s="13">
        <f t="shared" si="523"/>
        <v>59</v>
      </c>
      <c r="C1742" s="74" t="s">
        <v>995</v>
      </c>
      <c r="D1742" s="74" t="s">
        <v>996</v>
      </c>
      <c r="E1742" s="204"/>
      <c r="F1742" s="204"/>
      <c r="G1742" s="193"/>
      <c r="H1742" s="89"/>
      <c r="I1742" s="89"/>
      <c r="J1742" s="15">
        <v>43095000</v>
      </c>
      <c r="K1742" s="99">
        <v>43095000</v>
      </c>
      <c r="L1742" s="13"/>
      <c r="M1742" s="17"/>
      <c r="N1742" s="17"/>
      <c r="O1742" s="17"/>
      <c r="P1742" s="17"/>
      <c r="Q1742" s="17"/>
      <c r="R1742" s="17"/>
      <c r="S1742" s="17"/>
      <c r="T1742" s="17"/>
      <c r="U1742" s="17"/>
      <c r="V1742" s="17"/>
      <c r="W1742" s="17"/>
      <c r="X1742" s="17"/>
      <c r="Y1742" s="229">
        <v>100</v>
      </c>
      <c r="Z1742" s="19">
        <v>100</v>
      </c>
      <c r="AA1742" s="22">
        <v>42276500</v>
      </c>
      <c r="AB1742" s="19">
        <f t="shared" si="545"/>
        <v>98.100707738716793</v>
      </c>
      <c r="AC1742" s="22">
        <f t="shared" si="525"/>
        <v>42276500</v>
      </c>
      <c r="AD1742" s="19">
        <f t="shared" si="546"/>
        <v>98.100707738716793</v>
      </c>
    </row>
    <row r="1743" spans="2:30" ht="27">
      <c r="B1743" s="13">
        <f t="shared" si="523"/>
        <v>60</v>
      </c>
      <c r="C1743" s="74" t="s">
        <v>997</v>
      </c>
      <c r="D1743" s="74" t="s">
        <v>998</v>
      </c>
      <c r="E1743" s="204"/>
      <c r="F1743" s="204"/>
      <c r="G1743" s="193"/>
      <c r="H1743" s="89"/>
      <c r="I1743" s="89"/>
      <c r="J1743" s="15">
        <v>17500000</v>
      </c>
      <c r="K1743" s="99">
        <v>17500000</v>
      </c>
      <c r="L1743" s="13"/>
      <c r="M1743" s="17"/>
      <c r="N1743" s="17"/>
      <c r="O1743" s="17"/>
      <c r="P1743" s="17"/>
      <c r="Q1743" s="17"/>
      <c r="R1743" s="17"/>
      <c r="S1743" s="17"/>
      <c r="T1743" s="17"/>
      <c r="U1743" s="17"/>
      <c r="V1743" s="17"/>
      <c r="W1743" s="17"/>
      <c r="X1743" s="17"/>
      <c r="Y1743" s="229">
        <v>100</v>
      </c>
      <c r="Z1743" s="19">
        <v>100</v>
      </c>
      <c r="AA1743" s="22">
        <v>17168000</v>
      </c>
      <c r="AB1743" s="19">
        <f t="shared" si="545"/>
        <v>98.102857142857147</v>
      </c>
      <c r="AC1743" s="22">
        <f t="shared" si="525"/>
        <v>17168000</v>
      </c>
      <c r="AD1743" s="19">
        <f t="shared" si="546"/>
        <v>98.102857142857147</v>
      </c>
    </row>
    <row r="1744" spans="2:30" ht="27">
      <c r="B1744" s="13">
        <f t="shared" si="523"/>
        <v>61</v>
      </c>
      <c r="C1744" s="74" t="s">
        <v>999</v>
      </c>
      <c r="D1744" s="74" t="s">
        <v>1000</v>
      </c>
      <c r="E1744" s="204"/>
      <c r="F1744" s="204"/>
      <c r="G1744" s="193"/>
      <c r="H1744" s="89"/>
      <c r="I1744" s="89"/>
      <c r="J1744" s="15">
        <v>78339000</v>
      </c>
      <c r="K1744" s="99">
        <v>99159000</v>
      </c>
      <c r="L1744" s="13"/>
      <c r="M1744" s="17"/>
      <c r="N1744" s="17"/>
      <c r="O1744" s="17"/>
      <c r="P1744" s="17"/>
      <c r="Q1744" s="17"/>
      <c r="R1744" s="17"/>
      <c r="S1744" s="17"/>
      <c r="T1744" s="17"/>
      <c r="U1744" s="17"/>
      <c r="V1744" s="17"/>
      <c r="W1744" s="17"/>
      <c r="X1744" s="17"/>
      <c r="Y1744" s="229">
        <v>100</v>
      </c>
      <c r="Z1744" s="19">
        <v>100</v>
      </c>
      <c r="AA1744" s="22">
        <v>71257000</v>
      </c>
      <c r="AB1744" s="19">
        <f t="shared" si="545"/>
        <v>71.861353987030924</v>
      </c>
      <c r="AC1744" s="22">
        <f>AA1744</f>
        <v>71257000</v>
      </c>
      <c r="AD1744" s="19">
        <f t="shared" si="546"/>
        <v>71.861353987030924</v>
      </c>
    </row>
    <row r="1745" spans="2:30" ht="40.5">
      <c r="B1745" s="13">
        <f t="shared" ref="B1745" si="547">B1744+1</f>
        <v>62</v>
      </c>
      <c r="C1745" s="74" t="s">
        <v>1001</v>
      </c>
      <c r="D1745" s="74" t="s">
        <v>1002</v>
      </c>
      <c r="E1745" s="204"/>
      <c r="F1745" s="204"/>
      <c r="G1745" s="193"/>
      <c r="H1745" s="89"/>
      <c r="I1745" s="89"/>
      <c r="J1745" s="15">
        <v>19986000</v>
      </c>
      <c r="K1745" s="99">
        <v>19986000</v>
      </c>
      <c r="L1745" s="13"/>
      <c r="M1745" s="17"/>
      <c r="N1745" s="17"/>
      <c r="O1745" s="17"/>
      <c r="P1745" s="17"/>
      <c r="Q1745" s="17"/>
      <c r="R1745" s="17"/>
      <c r="S1745" s="17"/>
      <c r="T1745" s="17"/>
      <c r="U1745" s="17"/>
      <c r="V1745" s="17"/>
      <c r="W1745" s="17"/>
      <c r="X1745" s="17"/>
      <c r="Y1745" s="229">
        <v>100</v>
      </c>
      <c r="Z1745" s="19">
        <v>100</v>
      </c>
      <c r="AA1745" s="22">
        <v>19606000</v>
      </c>
      <c r="AB1745" s="19">
        <f t="shared" si="545"/>
        <v>98.098669068347846</v>
      </c>
      <c r="AC1745" s="22">
        <f t="shared" si="525"/>
        <v>19606000</v>
      </c>
      <c r="AD1745" s="19">
        <f t="shared" si="546"/>
        <v>98.098669068347846</v>
      </c>
    </row>
    <row r="1746" spans="2:30" ht="27">
      <c r="B1746" s="13"/>
      <c r="C1746" s="86" t="s">
        <v>1003</v>
      </c>
      <c r="D1746" s="86" t="s">
        <v>1004</v>
      </c>
      <c r="E1746" s="485"/>
      <c r="F1746" s="485"/>
      <c r="G1746" s="441"/>
      <c r="H1746" s="87"/>
      <c r="I1746" s="87"/>
      <c r="J1746" s="209"/>
      <c r="K1746" s="16"/>
      <c r="L1746" s="13"/>
      <c r="M1746" s="17"/>
      <c r="N1746" s="17"/>
      <c r="O1746" s="17"/>
      <c r="P1746" s="17"/>
      <c r="Q1746" s="17"/>
      <c r="R1746" s="17"/>
      <c r="S1746" s="17"/>
      <c r="T1746" s="17"/>
      <c r="U1746" s="17"/>
      <c r="V1746" s="17"/>
      <c r="W1746" s="17"/>
      <c r="X1746" s="17"/>
      <c r="Y1746" s="153"/>
      <c r="Z1746" s="227"/>
      <c r="AA1746" s="232"/>
      <c r="AB1746" s="19"/>
      <c r="AC1746" s="228"/>
      <c r="AD1746" s="19"/>
    </row>
    <row r="1747" spans="2:30" ht="27">
      <c r="B1747" s="13">
        <f>B1745+1</f>
        <v>63</v>
      </c>
      <c r="C1747" s="74" t="s">
        <v>299</v>
      </c>
      <c r="D1747" s="74" t="s">
        <v>1005</v>
      </c>
      <c r="E1747" s="204"/>
      <c r="F1747" s="204"/>
      <c r="G1747" s="193"/>
      <c r="H1747" s="89"/>
      <c r="I1747" s="89"/>
      <c r="J1747" s="15">
        <v>140237000</v>
      </c>
      <c r="K1747" s="99">
        <v>132334000</v>
      </c>
      <c r="L1747" s="13"/>
      <c r="M1747" s="17"/>
      <c r="N1747" s="17"/>
      <c r="O1747" s="17"/>
      <c r="P1747" s="17"/>
      <c r="Q1747" s="17"/>
      <c r="R1747" s="17"/>
      <c r="S1747" s="17"/>
      <c r="T1747" s="17"/>
      <c r="U1747" s="17"/>
      <c r="V1747" s="17"/>
      <c r="W1747" s="17"/>
      <c r="X1747" s="17"/>
      <c r="Y1747" s="13">
        <v>100</v>
      </c>
      <c r="Z1747" s="19">
        <v>100</v>
      </c>
      <c r="AA1747" s="77">
        <v>132319950</v>
      </c>
      <c r="AB1747" s="19">
        <f t="shared" ref="AB1747:AB1754" si="548">AA1747/K1747*100</f>
        <v>99.989382925023051</v>
      </c>
      <c r="AC1747" s="22">
        <f>AA1747</f>
        <v>132319950</v>
      </c>
      <c r="AD1747" s="19">
        <f t="shared" ref="AD1747:AD1754" si="549">AC1747/K1747*100</f>
        <v>99.989382925023051</v>
      </c>
    </row>
    <row r="1748" spans="2:30" ht="40.5">
      <c r="B1748" s="13">
        <f t="shared" ref="B1748:B1786" si="550">B1747+1</f>
        <v>64</v>
      </c>
      <c r="C1748" s="74" t="s">
        <v>301</v>
      </c>
      <c r="D1748" s="74" t="s">
        <v>1006</v>
      </c>
      <c r="E1748" s="204"/>
      <c r="F1748" s="204"/>
      <c r="G1748" s="193"/>
      <c r="H1748" s="89"/>
      <c r="I1748" s="89"/>
      <c r="J1748" s="15">
        <v>60238000</v>
      </c>
      <c r="K1748" s="99">
        <v>57938000</v>
      </c>
      <c r="L1748" s="13"/>
      <c r="M1748" s="17"/>
      <c r="N1748" s="17"/>
      <c r="O1748" s="17"/>
      <c r="P1748" s="17"/>
      <c r="Q1748" s="17"/>
      <c r="R1748" s="17"/>
      <c r="S1748" s="17"/>
      <c r="T1748" s="17"/>
      <c r="U1748" s="17"/>
      <c r="V1748" s="17"/>
      <c r="W1748" s="17"/>
      <c r="X1748" s="17"/>
      <c r="Y1748" s="13">
        <v>100</v>
      </c>
      <c r="Z1748" s="19">
        <v>100</v>
      </c>
      <c r="AA1748" s="77">
        <v>55996600</v>
      </c>
      <c r="AB1748" s="19">
        <f t="shared" si="548"/>
        <v>96.649176706134142</v>
      </c>
      <c r="AC1748" s="22">
        <f>AA1748</f>
        <v>55996600</v>
      </c>
      <c r="AD1748" s="19">
        <f t="shared" si="549"/>
        <v>96.649176706134142</v>
      </c>
    </row>
    <row r="1749" spans="2:30" ht="27">
      <c r="B1749" s="13">
        <f>B1748+1</f>
        <v>65</v>
      </c>
      <c r="C1749" s="74" t="s">
        <v>1007</v>
      </c>
      <c r="D1749" s="74" t="s">
        <v>1008</v>
      </c>
      <c r="E1749" s="204"/>
      <c r="F1749" s="204"/>
      <c r="G1749" s="193"/>
      <c r="H1749" s="89"/>
      <c r="I1749" s="89"/>
      <c r="J1749" s="15">
        <v>26080000</v>
      </c>
      <c r="K1749" s="99">
        <v>26080000</v>
      </c>
      <c r="L1749" s="13"/>
      <c r="M1749" s="17"/>
      <c r="N1749" s="17"/>
      <c r="O1749" s="17"/>
      <c r="P1749" s="17"/>
      <c r="Q1749" s="17"/>
      <c r="R1749" s="17"/>
      <c r="S1749" s="17"/>
      <c r="T1749" s="17"/>
      <c r="U1749" s="17"/>
      <c r="V1749" s="17"/>
      <c r="W1749" s="17"/>
      <c r="X1749" s="17"/>
      <c r="Y1749" s="13">
        <v>100</v>
      </c>
      <c r="Z1749" s="19">
        <v>80</v>
      </c>
      <c r="AA1749" s="22">
        <v>19990400</v>
      </c>
      <c r="AB1749" s="19">
        <f t="shared" si="548"/>
        <v>76.650306748466264</v>
      </c>
      <c r="AC1749" s="22">
        <f t="shared" ref="AC1749:AC1772" si="551">AA1749</f>
        <v>19990400</v>
      </c>
      <c r="AD1749" s="19">
        <f t="shared" si="549"/>
        <v>76.650306748466264</v>
      </c>
    </row>
    <row r="1750" spans="2:30" ht="27" customHeight="1">
      <c r="B1750" s="13">
        <f t="shared" ref="B1750:B1754" si="552">B1749+1</f>
        <v>66</v>
      </c>
      <c r="C1750" s="74" t="s">
        <v>1009</v>
      </c>
      <c r="D1750" s="21" t="s">
        <v>1010</v>
      </c>
      <c r="E1750" s="204"/>
      <c r="F1750" s="204"/>
      <c r="G1750" s="193"/>
      <c r="H1750" s="89"/>
      <c r="I1750" s="89"/>
      <c r="J1750" s="15">
        <v>155616000</v>
      </c>
      <c r="K1750" s="99">
        <v>125347000</v>
      </c>
      <c r="L1750" s="13"/>
      <c r="M1750" s="17"/>
      <c r="N1750" s="17"/>
      <c r="O1750" s="17"/>
      <c r="P1750" s="17"/>
      <c r="Q1750" s="17"/>
      <c r="R1750" s="17"/>
      <c r="S1750" s="17"/>
      <c r="T1750" s="17"/>
      <c r="U1750" s="17"/>
      <c r="V1750" s="17"/>
      <c r="W1750" s="17"/>
      <c r="X1750" s="17"/>
      <c r="Y1750" s="13">
        <v>100</v>
      </c>
      <c r="Z1750" s="19">
        <v>100</v>
      </c>
      <c r="AA1750" s="22">
        <v>119897500</v>
      </c>
      <c r="AB1750" s="19">
        <f t="shared" si="548"/>
        <v>95.652468746758998</v>
      </c>
      <c r="AC1750" s="22">
        <f t="shared" si="551"/>
        <v>119897500</v>
      </c>
      <c r="AD1750" s="19">
        <f t="shared" si="549"/>
        <v>95.652468746758998</v>
      </c>
    </row>
    <row r="1751" spans="2:30">
      <c r="B1751" s="13">
        <f t="shared" si="552"/>
        <v>67</v>
      </c>
      <c r="C1751" s="74" t="s">
        <v>1011</v>
      </c>
      <c r="D1751" s="21" t="s">
        <v>1012</v>
      </c>
      <c r="E1751" s="204"/>
      <c r="F1751" s="204"/>
      <c r="G1751" s="193"/>
      <c r="H1751" s="89"/>
      <c r="I1751" s="89"/>
      <c r="J1751" s="15">
        <v>106000000</v>
      </c>
      <c r="K1751" s="99">
        <v>100000000</v>
      </c>
      <c r="L1751" s="13"/>
      <c r="M1751" s="17"/>
      <c r="N1751" s="17"/>
      <c r="O1751" s="17"/>
      <c r="P1751" s="17"/>
      <c r="Q1751" s="17"/>
      <c r="R1751" s="17"/>
      <c r="S1751" s="17"/>
      <c r="T1751" s="17"/>
      <c r="U1751" s="17"/>
      <c r="V1751" s="17"/>
      <c r="W1751" s="17"/>
      <c r="X1751" s="17"/>
      <c r="Y1751" s="13">
        <v>100</v>
      </c>
      <c r="Z1751" s="19">
        <v>100</v>
      </c>
      <c r="AA1751" s="22">
        <v>88283500</v>
      </c>
      <c r="AB1751" s="19">
        <f t="shared" si="548"/>
        <v>88.283500000000004</v>
      </c>
      <c r="AC1751" s="22">
        <f t="shared" si="551"/>
        <v>88283500</v>
      </c>
      <c r="AD1751" s="19">
        <f t="shared" si="549"/>
        <v>88.283500000000004</v>
      </c>
    </row>
    <row r="1752" spans="2:30">
      <c r="B1752" s="13">
        <f t="shared" si="552"/>
        <v>68</v>
      </c>
      <c r="C1752" s="74" t="s">
        <v>1013</v>
      </c>
      <c r="D1752" s="21" t="s">
        <v>1014</v>
      </c>
      <c r="E1752" s="204"/>
      <c r="F1752" s="204"/>
      <c r="G1752" s="193"/>
      <c r="H1752" s="89"/>
      <c r="I1752" s="89"/>
      <c r="J1752" s="15">
        <v>62000000</v>
      </c>
      <c r="K1752" s="99">
        <v>53004000</v>
      </c>
      <c r="L1752" s="13"/>
      <c r="M1752" s="17"/>
      <c r="N1752" s="17"/>
      <c r="O1752" s="17"/>
      <c r="P1752" s="17"/>
      <c r="Q1752" s="17"/>
      <c r="R1752" s="17"/>
      <c r="S1752" s="17"/>
      <c r="T1752" s="17"/>
      <c r="U1752" s="17"/>
      <c r="V1752" s="17"/>
      <c r="W1752" s="17"/>
      <c r="X1752" s="17"/>
      <c r="Y1752" s="13">
        <v>100</v>
      </c>
      <c r="Z1752" s="19">
        <v>100</v>
      </c>
      <c r="AA1752" s="22">
        <v>43333000</v>
      </c>
      <c r="AB1752" s="19">
        <f t="shared" si="548"/>
        <v>81.754207229643043</v>
      </c>
      <c r="AC1752" s="22">
        <f t="shared" si="551"/>
        <v>43333000</v>
      </c>
      <c r="AD1752" s="19">
        <f t="shared" si="549"/>
        <v>81.754207229643043</v>
      </c>
    </row>
    <row r="1753" spans="2:30" ht="25.5">
      <c r="B1753" s="13">
        <f t="shared" si="552"/>
        <v>69</v>
      </c>
      <c r="C1753" s="74" t="s">
        <v>1015</v>
      </c>
      <c r="D1753" s="21" t="s">
        <v>1016</v>
      </c>
      <c r="E1753" s="204"/>
      <c r="F1753" s="204"/>
      <c r="G1753" s="193"/>
      <c r="H1753" s="89"/>
      <c r="I1753" s="89"/>
      <c r="J1753" s="15">
        <v>75000000</v>
      </c>
      <c r="K1753" s="99">
        <v>65600000</v>
      </c>
      <c r="L1753" s="13"/>
      <c r="M1753" s="17"/>
      <c r="N1753" s="17"/>
      <c r="O1753" s="17"/>
      <c r="P1753" s="17"/>
      <c r="Q1753" s="17"/>
      <c r="R1753" s="17"/>
      <c r="S1753" s="17"/>
      <c r="T1753" s="17"/>
      <c r="U1753" s="17"/>
      <c r="V1753" s="17"/>
      <c r="W1753" s="17"/>
      <c r="X1753" s="17"/>
      <c r="Y1753" s="13">
        <v>100</v>
      </c>
      <c r="Z1753" s="19">
        <v>100</v>
      </c>
      <c r="AA1753" s="22">
        <v>64590000</v>
      </c>
      <c r="AB1753" s="19">
        <f t="shared" si="548"/>
        <v>98.460365853658544</v>
      </c>
      <c r="AC1753" s="22">
        <f t="shared" si="551"/>
        <v>64590000</v>
      </c>
      <c r="AD1753" s="19">
        <f t="shared" si="549"/>
        <v>98.460365853658544</v>
      </c>
    </row>
    <row r="1754" spans="2:30">
      <c r="B1754" s="13">
        <f t="shared" si="552"/>
        <v>70</v>
      </c>
      <c r="C1754" s="74" t="s">
        <v>1017</v>
      </c>
      <c r="D1754" s="21" t="s">
        <v>1018</v>
      </c>
      <c r="E1754" s="204"/>
      <c r="F1754" s="204"/>
      <c r="G1754" s="193"/>
      <c r="H1754" s="89"/>
      <c r="I1754" s="89"/>
      <c r="J1754" s="15">
        <v>75000000</v>
      </c>
      <c r="K1754" s="99">
        <v>73100000</v>
      </c>
      <c r="L1754" s="13"/>
      <c r="M1754" s="17"/>
      <c r="N1754" s="17"/>
      <c r="O1754" s="17"/>
      <c r="P1754" s="17"/>
      <c r="Q1754" s="17"/>
      <c r="R1754" s="17"/>
      <c r="S1754" s="17"/>
      <c r="T1754" s="17"/>
      <c r="U1754" s="17"/>
      <c r="V1754" s="17"/>
      <c r="W1754" s="17"/>
      <c r="X1754" s="17"/>
      <c r="Y1754" s="13">
        <v>100</v>
      </c>
      <c r="Z1754" s="19">
        <v>100</v>
      </c>
      <c r="AA1754" s="22">
        <v>71240100</v>
      </c>
      <c r="AB1754" s="19">
        <f t="shared" si="548"/>
        <v>97.455677154582759</v>
      </c>
      <c r="AC1754" s="22">
        <f t="shared" si="551"/>
        <v>71240100</v>
      </c>
      <c r="AD1754" s="19">
        <f t="shared" si="549"/>
        <v>97.455677154582759</v>
      </c>
    </row>
    <row r="1755" spans="2:30" ht="27">
      <c r="B1755" s="13"/>
      <c r="C1755" s="86" t="s">
        <v>1019</v>
      </c>
      <c r="D1755" s="86" t="s">
        <v>1020</v>
      </c>
      <c r="E1755" s="485"/>
      <c r="F1755" s="485"/>
      <c r="G1755" s="441"/>
      <c r="H1755" s="87"/>
      <c r="I1755" s="87"/>
      <c r="J1755" s="209"/>
      <c r="K1755" s="16"/>
      <c r="L1755" s="13"/>
      <c r="M1755" s="17"/>
      <c r="N1755" s="17"/>
      <c r="O1755" s="17"/>
      <c r="P1755" s="17"/>
      <c r="Q1755" s="17"/>
      <c r="R1755" s="17"/>
      <c r="S1755" s="17"/>
      <c r="T1755" s="17"/>
      <c r="U1755" s="17"/>
      <c r="V1755" s="17"/>
      <c r="W1755" s="17"/>
      <c r="X1755" s="17"/>
      <c r="Y1755" s="153"/>
      <c r="Z1755" s="227"/>
      <c r="AA1755" s="153"/>
      <c r="AB1755" s="19"/>
      <c r="AC1755" s="153"/>
      <c r="AD1755" s="19"/>
    </row>
    <row r="1756" spans="2:30" ht="27">
      <c r="B1756" s="13">
        <f>B1754+1</f>
        <v>71</v>
      </c>
      <c r="C1756" s="74" t="s">
        <v>1021</v>
      </c>
      <c r="D1756" s="74" t="s">
        <v>1022</v>
      </c>
      <c r="E1756" s="204"/>
      <c r="F1756" s="204"/>
      <c r="G1756" s="193"/>
      <c r="H1756" s="89"/>
      <c r="I1756" s="89"/>
      <c r="J1756" s="15">
        <v>425074000</v>
      </c>
      <c r="K1756" s="99">
        <v>425074000</v>
      </c>
      <c r="L1756" s="13"/>
      <c r="M1756" s="17"/>
      <c r="N1756" s="17"/>
      <c r="O1756" s="17"/>
      <c r="P1756" s="17"/>
      <c r="Q1756" s="17"/>
      <c r="R1756" s="17"/>
      <c r="S1756" s="17"/>
      <c r="T1756" s="17"/>
      <c r="U1756" s="17"/>
      <c r="V1756" s="17"/>
      <c r="W1756" s="17"/>
      <c r="X1756" s="17"/>
      <c r="Y1756" s="13">
        <v>100</v>
      </c>
      <c r="Z1756" s="19">
        <v>100</v>
      </c>
      <c r="AA1756" s="22">
        <v>413640800</v>
      </c>
      <c r="AB1756" s="19">
        <f t="shared" ref="AB1756:AB1758" si="553">AA1756/K1756*100</f>
        <v>97.310303617723022</v>
      </c>
      <c r="AC1756" s="83">
        <f t="shared" si="551"/>
        <v>413640800</v>
      </c>
      <c r="AD1756" s="19">
        <f t="shared" ref="AD1756" si="554">AC1756/K1756*100</f>
        <v>97.310303617723022</v>
      </c>
    </row>
    <row r="1757" spans="2:30">
      <c r="B1757" s="13">
        <f t="shared" si="550"/>
        <v>72</v>
      </c>
      <c r="C1757" s="74" t="s">
        <v>1023</v>
      </c>
      <c r="D1757" s="74" t="s">
        <v>1024</v>
      </c>
      <c r="E1757" s="204"/>
      <c r="F1757" s="204"/>
      <c r="G1757" s="193"/>
      <c r="H1757" s="89"/>
      <c r="I1757" s="89"/>
      <c r="J1757" s="15">
        <v>180000000</v>
      </c>
      <c r="K1757" s="99">
        <v>0</v>
      </c>
      <c r="L1757" s="13"/>
      <c r="M1757" s="17"/>
      <c r="N1757" s="17"/>
      <c r="O1757" s="17"/>
      <c r="P1757" s="17"/>
      <c r="Q1757" s="17"/>
      <c r="R1757" s="17"/>
      <c r="S1757" s="17"/>
      <c r="T1757" s="17"/>
      <c r="U1757" s="17"/>
      <c r="V1757" s="17"/>
      <c r="W1757" s="17"/>
      <c r="X1757" s="17"/>
      <c r="Y1757" s="13">
        <v>100</v>
      </c>
      <c r="Z1757" s="19">
        <v>0</v>
      </c>
      <c r="AA1757" s="17"/>
      <c r="AB1757" s="19">
        <v>0</v>
      </c>
      <c r="AC1757" s="17">
        <f t="shared" si="551"/>
        <v>0</v>
      </c>
      <c r="AD1757" s="19">
        <f>AC1757/J1757*100</f>
        <v>0</v>
      </c>
    </row>
    <row r="1758" spans="2:30">
      <c r="B1758" s="13">
        <f t="shared" si="550"/>
        <v>73</v>
      </c>
      <c r="C1758" s="74" t="s">
        <v>1025</v>
      </c>
      <c r="D1758" s="74" t="s">
        <v>1026</v>
      </c>
      <c r="E1758" s="204"/>
      <c r="F1758" s="204"/>
      <c r="G1758" s="193"/>
      <c r="H1758" s="89"/>
      <c r="I1758" s="89"/>
      <c r="J1758" s="15">
        <v>50000000</v>
      </c>
      <c r="K1758" s="99">
        <v>67750000</v>
      </c>
      <c r="L1758" s="13"/>
      <c r="M1758" s="17"/>
      <c r="N1758" s="17"/>
      <c r="O1758" s="17"/>
      <c r="P1758" s="17"/>
      <c r="Q1758" s="17"/>
      <c r="R1758" s="17"/>
      <c r="S1758" s="17"/>
      <c r="T1758" s="17"/>
      <c r="U1758" s="17"/>
      <c r="V1758" s="17"/>
      <c r="W1758" s="17"/>
      <c r="X1758" s="17"/>
      <c r="Y1758" s="13">
        <v>100</v>
      </c>
      <c r="Z1758" s="19">
        <v>60</v>
      </c>
      <c r="AA1758" s="22">
        <v>54747800</v>
      </c>
      <c r="AB1758" s="19">
        <f t="shared" si="553"/>
        <v>80.808560885608856</v>
      </c>
      <c r="AC1758" s="22">
        <f t="shared" si="551"/>
        <v>54747800</v>
      </c>
      <c r="AD1758" s="19">
        <f>AC1758/K1758*100</f>
        <v>80.808560885608856</v>
      </c>
    </row>
    <row r="1759" spans="2:30" ht="27">
      <c r="B1759" s="13">
        <f t="shared" si="550"/>
        <v>74</v>
      </c>
      <c r="C1759" s="74" t="s">
        <v>1027</v>
      </c>
      <c r="D1759" s="74" t="s">
        <v>1028</v>
      </c>
      <c r="E1759" s="204"/>
      <c r="F1759" s="204"/>
      <c r="G1759" s="193"/>
      <c r="H1759" s="89"/>
      <c r="I1759" s="89"/>
      <c r="J1759" s="15">
        <v>17750000</v>
      </c>
      <c r="K1759" s="99">
        <v>0</v>
      </c>
      <c r="L1759" s="13"/>
      <c r="M1759" s="17"/>
      <c r="N1759" s="17"/>
      <c r="O1759" s="17"/>
      <c r="P1759" s="17"/>
      <c r="Q1759" s="17"/>
      <c r="R1759" s="17"/>
      <c r="S1759" s="17"/>
      <c r="T1759" s="17"/>
      <c r="U1759" s="17"/>
      <c r="V1759" s="17"/>
      <c r="W1759" s="17"/>
      <c r="X1759" s="17"/>
      <c r="Y1759" s="13">
        <v>100</v>
      </c>
      <c r="Z1759" s="19"/>
      <c r="AA1759" s="22"/>
      <c r="AB1759" s="19">
        <v>0</v>
      </c>
      <c r="AC1759" s="22">
        <f t="shared" si="551"/>
        <v>0</v>
      </c>
      <c r="AD1759" s="19">
        <f>AC1759/J1759*100</f>
        <v>0</v>
      </c>
    </row>
    <row r="1760" spans="2:30" ht="25.5">
      <c r="B1760" s="13">
        <f t="shared" si="550"/>
        <v>75</v>
      </c>
      <c r="C1760" s="81">
        <v>27.007999999999999</v>
      </c>
      <c r="D1760" s="21" t="s">
        <v>1029</v>
      </c>
      <c r="E1760" s="204"/>
      <c r="F1760" s="204"/>
      <c r="G1760" s="193"/>
      <c r="H1760" s="89"/>
      <c r="I1760" s="89"/>
      <c r="J1760" s="15">
        <v>35000000</v>
      </c>
      <c r="K1760" s="99">
        <v>35000000</v>
      </c>
      <c r="L1760" s="13"/>
      <c r="M1760" s="17"/>
      <c r="N1760" s="17"/>
      <c r="O1760" s="17"/>
      <c r="P1760" s="17"/>
      <c r="Q1760" s="17"/>
      <c r="R1760" s="17"/>
      <c r="S1760" s="17"/>
      <c r="T1760" s="17"/>
      <c r="U1760" s="17"/>
      <c r="V1760" s="17"/>
      <c r="W1760" s="17"/>
      <c r="X1760" s="17"/>
      <c r="Y1760" s="13">
        <v>100</v>
      </c>
      <c r="Z1760" s="19">
        <v>50</v>
      </c>
      <c r="AA1760" s="22">
        <v>28135000</v>
      </c>
      <c r="AB1760" s="19">
        <f>AA1760/K1760*100</f>
        <v>80.385714285714286</v>
      </c>
      <c r="AC1760" s="83">
        <f t="shared" si="551"/>
        <v>28135000</v>
      </c>
      <c r="AD1760" s="19">
        <f>AC1760/K1760*100</f>
        <v>80.385714285714286</v>
      </c>
    </row>
    <row r="1761" spans="2:30" ht="25.5">
      <c r="B1761" s="13">
        <f t="shared" si="550"/>
        <v>76</v>
      </c>
      <c r="C1761" s="81">
        <v>27.009</v>
      </c>
      <c r="D1761" s="21" t="s">
        <v>1030</v>
      </c>
      <c r="E1761" s="204"/>
      <c r="F1761" s="204"/>
      <c r="G1761" s="193"/>
      <c r="H1761" s="89"/>
      <c r="I1761" s="89"/>
      <c r="J1761" s="15">
        <v>100000000</v>
      </c>
      <c r="K1761" s="99">
        <v>100000000</v>
      </c>
      <c r="L1761" s="13"/>
      <c r="M1761" s="17"/>
      <c r="N1761" s="17"/>
      <c r="O1761" s="17"/>
      <c r="P1761" s="17"/>
      <c r="Q1761" s="17"/>
      <c r="R1761" s="17"/>
      <c r="S1761" s="17"/>
      <c r="T1761" s="17"/>
      <c r="U1761" s="17"/>
      <c r="V1761" s="17"/>
      <c r="W1761" s="17"/>
      <c r="X1761" s="17"/>
      <c r="Y1761" s="13">
        <v>100</v>
      </c>
      <c r="Z1761" s="19">
        <v>100</v>
      </c>
      <c r="AA1761" s="22">
        <v>100000000</v>
      </c>
      <c r="AB1761" s="19">
        <f>AA1761/K1761*100</f>
        <v>100</v>
      </c>
      <c r="AC1761" s="83">
        <f t="shared" si="551"/>
        <v>100000000</v>
      </c>
      <c r="AD1761" s="19">
        <f>AC1761/K1761*100</f>
        <v>100</v>
      </c>
    </row>
    <row r="1762" spans="2:30" ht="40.5">
      <c r="B1762" s="13"/>
      <c r="C1762" s="86" t="s">
        <v>1031</v>
      </c>
      <c r="D1762" s="86" t="s">
        <v>1032</v>
      </c>
      <c r="E1762" s="485"/>
      <c r="F1762" s="485"/>
      <c r="G1762" s="441"/>
      <c r="H1762" s="87"/>
      <c r="I1762" s="87"/>
      <c r="J1762" s="209"/>
      <c r="K1762" s="16"/>
      <c r="L1762" s="13"/>
      <c r="M1762" s="17"/>
      <c r="N1762" s="17"/>
      <c r="O1762" s="17"/>
      <c r="P1762" s="17"/>
      <c r="Q1762" s="17"/>
      <c r="R1762" s="17"/>
      <c r="S1762" s="17"/>
      <c r="T1762" s="17"/>
      <c r="U1762" s="17"/>
      <c r="V1762" s="17"/>
      <c r="W1762" s="17"/>
      <c r="X1762" s="17"/>
      <c r="Y1762" s="153"/>
      <c r="Z1762" s="227"/>
      <c r="AA1762" s="153"/>
      <c r="AB1762" s="19"/>
      <c r="AC1762" s="153"/>
      <c r="AD1762" s="19"/>
    </row>
    <row r="1763" spans="2:30">
      <c r="B1763" s="13">
        <f>B1761+1</f>
        <v>77</v>
      </c>
      <c r="C1763" s="74" t="s">
        <v>1033</v>
      </c>
      <c r="D1763" s="74" t="s">
        <v>1034</v>
      </c>
      <c r="E1763" s="204"/>
      <c r="F1763" s="204"/>
      <c r="G1763" s="193"/>
      <c r="H1763" s="89"/>
      <c r="I1763" s="89"/>
      <c r="J1763" s="15">
        <v>20000000</v>
      </c>
      <c r="K1763" s="99">
        <v>20000000</v>
      </c>
      <c r="L1763" s="13"/>
      <c r="M1763" s="17"/>
      <c r="N1763" s="17"/>
      <c r="O1763" s="17"/>
      <c r="P1763" s="17"/>
      <c r="Q1763" s="17"/>
      <c r="R1763" s="17"/>
      <c r="S1763" s="17"/>
      <c r="T1763" s="17"/>
      <c r="U1763" s="17"/>
      <c r="V1763" s="17"/>
      <c r="W1763" s="17"/>
      <c r="X1763" s="17"/>
      <c r="Y1763" s="13">
        <v>100</v>
      </c>
      <c r="Z1763" s="19">
        <v>99.83</v>
      </c>
      <c r="AA1763" s="22">
        <v>19966000</v>
      </c>
      <c r="AB1763" s="19">
        <f>AA1763/K1763*100</f>
        <v>99.83</v>
      </c>
      <c r="AC1763" s="22">
        <f t="shared" si="551"/>
        <v>19966000</v>
      </c>
      <c r="AD1763" s="19">
        <f>AC1763/K1763*100</f>
        <v>99.83</v>
      </c>
    </row>
    <row r="1764" spans="2:30">
      <c r="B1764" s="13">
        <f t="shared" si="550"/>
        <v>78</v>
      </c>
      <c r="C1764" s="74" t="s">
        <v>1035</v>
      </c>
      <c r="D1764" s="74" t="s">
        <v>1036</v>
      </c>
      <c r="E1764" s="204"/>
      <c r="F1764" s="204"/>
      <c r="G1764" s="193"/>
      <c r="H1764" s="89"/>
      <c r="I1764" s="89"/>
      <c r="J1764" s="15">
        <v>33875000</v>
      </c>
      <c r="K1764" s="99">
        <v>33875000</v>
      </c>
      <c r="L1764" s="13"/>
      <c r="M1764" s="17"/>
      <c r="N1764" s="17"/>
      <c r="O1764" s="17"/>
      <c r="P1764" s="17"/>
      <c r="Q1764" s="17"/>
      <c r="R1764" s="17"/>
      <c r="S1764" s="17"/>
      <c r="T1764" s="17"/>
      <c r="U1764" s="17"/>
      <c r="V1764" s="17"/>
      <c r="W1764" s="17"/>
      <c r="X1764" s="17"/>
      <c r="Y1764" s="13">
        <v>100</v>
      </c>
      <c r="Z1764" s="19">
        <v>96.64</v>
      </c>
      <c r="AA1764" s="22">
        <v>32737200</v>
      </c>
      <c r="AB1764" s="19">
        <f t="shared" ref="AB1764:AB1786" si="555">AA1764/K1764*100</f>
        <v>96.641180811808113</v>
      </c>
      <c r="AC1764" s="22">
        <f t="shared" si="551"/>
        <v>32737200</v>
      </c>
      <c r="AD1764" s="19">
        <f t="shared" ref="AD1764:AD1786" si="556">AC1764/K1764*100</f>
        <v>96.641180811808113</v>
      </c>
    </row>
    <row r="1765" spans="2:30">
      <c r="B1765" s="13">
        <f t="shared" si="550"/>
        <v>79</v>
      </c>
      <c r="C1765" s="74" t="s">
        <v>1037</v>
      </c>
      <c r="D1765" s="74" t="s">
        <v>1038</v>
      </c>
      <c r="E1765" s="204"/>
      <c r="F1765" s="204"/>
      <c r="G1765" s="193"/>
      <c r="H1765" s="89"/>
      <c r="I1765" s="89"/>
      <c r="J1765" s="15">
        <v>20000000</v>
      </c>
      <c r="K1765" s="99">
        <v>20000000</v>
      </c>
      <c r="L1765" s="13"/>
      <c r="M1765" s="17"/>
      <c r="N1765" s="17"/>
      <c r="O1765" s="17"/>
      <c r="P1765" s="17"/>
      <c r="Q1765" s="17"/>
      <c r="R1765" s="17"/>
      <c r="S1765" s="17"/>
      <c r="T1765" s="17"/>
      <c r="U1765" s="17"/>
      <c r="V1765" s="17"/>
      <c r="W1765" s="17"/>
      <c r="X1765" s="17"/>
      <c r="Y1765" s="13">
        <v>100</v>
      </c>
      <c r="Z1765" s="19">
        <v>89.71</v>
      </c>
      <c r="AA1765" s="22">
        <v>17941480</v>
      </c>
      <c r="AB1765" s="19">
        <f t="shared" si="555"/>
        <v>89.707400000000007</v>
      </c>
      <c r="AC1765" s="22">
        <f t="shared" si="551"/>
        <v>17941480</v>
      </c>
      <c r="AD1765" s="19">
        <f t="shared" si="556"/>
        <v>89.707400000000007</v>
      </c>
    </row>
    <row r="1766" spans="2:30" ht="27">
      <c r="B1766" s="13">
        <f t="shared" si="550"/>
        <v>80</v>
      </c>
      <c r="C1766" s="74" t="s">
        <v>1039</v>
      </c>
      <c r="D1766" s="74" t="s">
        <v>1040</v>
      </c>
      <c r="E1766" s="204"/>
      <c r="F1766" s="204"/>
      <c r="G1766" s="193"/>
      <c r="H1766" s="89"/>
      <c r="I1766" s="89"/>
      <c r="J1766" s="15">
        <v>44985000</v>
      </c>
      <c r="K1766" s="99">
        <v>44985000</v>
      </c>
      <c r="L1766" s="13"/>
      <c r="M1766" s="17"/>
      <c r="N1766" s="17"/>
      <c r="O1766" s="17"/>
      <c r="P1766" s="17"/>
      <c r="Q1766" s="17"/>
      <c r="R1766" s="17"/>
      <c r="S1766" s="17"/>
      <c r="T1766" s="17"/>
      <c r="U1766" s="17"/>
      <c r="V1766" s="17"/>
      <c r="W1766" s="17"/>
      <c r="X1766" s="17"/>
      <c r="Y1766" s="13">
        <v>100</v>
      </c>
      <c r="Z1766" s="19">
        <v>98.23</v>
      </c>
      <c r="AA1766" s="22">
        <v>44189100</v>
      </c>
      <c r="AB1766" s="19">
        <f t="shared" si="555"/>
        <v>98.230743581193735</v>
      </c>
      <c r="AC1766" s="22">
        <f t="shared" si="551"/>
        <v>44189100</v>
      </c>
      <c r="AD1766" s="19">
        <f t="shared" si="556"/>
        <v>98.230743581193735</v>
      </c>
    </row>
    <row r="1767" spans="2:30" ht="27">
      <c r="B1767" s="13">
        <f t="shared" si="550"/>
        <v>81</v>
      </c>
      <c r="C1767" s="74" t="s">
        <v>1041</v>
      </c>
      <c r="D1767" s="74" t="s">
        <v>1042</v>
      </c>
      <c r="E1767" s="204"/>
      <c r="F1767" s="204"/>
      <c r="G1767" s="193"/>
      <c r="H1767" s="89"/>
      <c r="I1767" s="89"/>
      <c r="J1767" s="15">
        <v>70000000</v>
      </c>
      <c r="K1767" s="99">
        <v>70000000</v>
      </c>
      <c r="L1767" s="13"/>
      <c r="M1767" s="17"/>
      <c r="N1767" s="17"/>
      <c r="O1767" s="17"/>
      <c r="P1767" s="17"/>
      <c r="Q1767" s="17"/>
      <c r="R1767" s="17"/>
      <c r="S1767" s="17"/>
      <c r="T1767" s="17"/>
      <c r="U1767" s="17"/>
      <c r="V1767" s="17"/>
      <c r="W1767" s="17"/>
      <c r="X1767" s="17"/>
      <c r="Y1767" s="13">
        <v>100</v>
      </c>
      <c r="Z1767" s="19">
        <v>91.8</v>
      </c>
      <c r="AA1767" s="22">
        <v>64260200</v>
      </c>
      <c r="AB1767" s="19">
        <f t="shared" si="555"/>
        <v>91.800285714285707</v>
      </c>
      <c r="AC1767" s="22">
        <f t="shared" si="551"/>
        <v>64260200</v>
      </c>
      <c r="AD1767" s="19">
        <f t="shared" si="556"/>
        <v>91.800285714285707</v>
      </c>
    </row>
    <row r="1768" spans="2:30" ht="27">
      <c r="B1768" s="13">
        <f t="shared" si="550"/>
        <v>82</v>
      </c>
      <c r="C1768" s="74" t="s">
        <v>1043</v>
      </c>
      <c r="D1768" s="74" t="s">
        <v>1044</v>
      </c>
      <c r="E1768" s="204"/>
      <c r="F1768" s="204"/>
      <c r="G1768" s="193"/>
      <c r="H1768" s="89"/>
      <c r="I1768" s="89"/>
      <c r="J1768" s="15">
        <v>80000000</v>
      </c>
      <c r="K1768" s="99">
        <v>80000000</v>
      </c>
      <c r="L1768" s="13"/>
      <c r="M1768" s="17"/>
      <c r="N1768" s="17"/>
      <c r="O1768" s="17"/>
      <c r="P1768" s="17"/>
      <c r="Q1768" s="17"/>
      <c r="R1768" s="17"/>
      <c r="S1768" s="17"/>
      <c r="T1768" s="17"/>
      <c r="U1768" s="17"/>
      <c r="V1768" s="17"/>
      <c r="W1768" s="17"/>
      <c r="X1768" s="17"/>
      <c r="Y1768" s="13">
        <v>100</v>
      </c>
      <c r="Z1768" s="19">
        <v>98.59</v>
      </c>
      <c r="AA1768" s="22">
        <v>78874200</v>
      </c>
      <c r="AB1768" s="19">
        <f t="shared" si="555"/>
        <v>98.592749999999995</v>
      </c>
      <c r="AC1768" s="22">
        <f t="shared" si="551"/>
        <v>78874200</v>
      </c>
      <c r="AD1768" s="19">
        <f t="shared" si="556"/>
        <v>98.592749999999995</v>
      </c>
    </row>
    <row r="1769" spans="2:30">
      <c r="B1769" s="13">
        <f t="shared" si="550"/>
        <v>83</v>
      </c>
      <c r="C1769" s="74" t="s">
        <v>1045</v>
      </c>
      <c r="D1769" s="74" t="s">
        <v>1046</v>
      </c>
      <c r="E1769" s="204"/>
      <c r="F1769" s="204"/>
      <c r="G1769" s="193"/>
      <c r="H1769" s="89"/>
      <c r="I1769" s="89"/>
      <c r="J1769" s="15">
        <v>11000000</v>
      </c>
      <c r="K1769" s="99">
        <v>0</v>
      </c>
      <c r="L1769" s="13"/>
      <c r="M1769" s="17"/>
      <c r="N1769" s="17"/>
      <c r="O1769" s="17"/>
      <c r="P1769" s="17"/>
      <c r="Q1769" s="17"/>
      <c r="R1769" s="17"/>
      <c r="S1769" s="17"/>
      <c r="T1769" s="17"/>
      <c r="U1769" s="17"/>
      <c r="V1769" s="17"/>
      <c r="W1769" s="17"/>
      <c r="X1769" s="17"/>
      <c r="Y1769" s="13">
        <v>0</v>
      </c>
      <c r="Z1769" s="19">
        <v>0</v>
      </c>
      <c r="AA1769" s="22"/>
      <c r="AB1769" s="19">
        <v>0</v>
      </c>
      <c r="AC1769" s="22">
        <f t="shared" si="551"/>
        <v>0</v>
      </c>
      <c r="AD1769" s="19">
        <v>0</v>
      </c>
    </row>
    <row r="1770" spans="2:30">
      <c r="B1770" s="13">
        <f>B1769+1</f>
        <v>84</v>
      </c>
      <c r="C1770" s="74" t="s">
        <v>1047</v>
      </c>
      <c r="D1770" s="74" t="s">
        <v>1048</v>
      </c>
      <c r="E1770" s="204"/>
      <c r="F1770" s="204"/>
      <c r="G1770" s="193"/>
      <c r="H1770" s="89"/>
      <c r="I1770" s="89"/>
      <c r="J1770" s="15">
        <v>50000000</v>
      </c>
      <c r="K1770" s="99">
        <v>50000000</v>
      </c>
      <c r="L1770" s="13"/>
      <c r="M1770" s="17"/>
      <c r="N1770" s="17"/>
      <c r="O1770" s="17"/>
      <c r="P1770" s="18"/>
      <c r="Q1770" s="17"/>
      <c r="R1770" s="17"/>
      <c r="S1770" s="17"/>
      <c r="T1770" s="17"/>
      <c r="U1770" s="17"/>
      <c r="V1770" s="17"/>
      <c r="W1770" s="17"/>
      <c r="X1770" s="17"/>
      <c r="Y1770" s="13">
        <v>100</v>
      </c>
      <c r="Z1770" s="19">
        <v>90.66</v>
      </c>
      <c r="AA1770" s="22">
        <v>45331200</v>
      </c>
      <c r="AB1770" s="19">
        <f t="shared" si="555"/>
        <v>90.662400000000005</v>
      </c>
      <c r="AC1770" s="22">
        <f t="shared" si="551"/>
        <v>45331200</v>
      </c>
      <c r="AD1770" s="19">
        <f t="shared" si="556"/>
        <v>90.662400000000005</v>
      </c>
    </row>
    <row r="1771" spans="2:30" ht="25.5">
      <c r="B1771" s="13">
        <f t="shared" ref="B1771:B1772" si="557">B1770+1</f>
        <v>85</v>
      </c>
      <c r="C1771" s="74" t="s">
        <v>2333</v>
      </c>
      <c r="D1771" s="75" t="s">
        <v>2335</v>
      </c>
      <c r="E1771" s="204"/>
      <c r="F1771" s="204"/>
      <c r="G1771" s="193"/>
      <c r="H1771" s="89"/>
      <c r="I1771" s="89"/>
      <c r="J1771" s="15"/>
      <c r="K1771" s="99">
        <v>11000000</v>
      </c>
      <c r="L1771" s="13"/>
      <c r="M1771" s="17"/>
      <c r="N1771" s="17"/>
      <c r="O1771" s="17"/>
      <c r="P1771" s="18"/>
      <c r="Q1771" s="17"/>
      <c r="R1771" s="17"/>
      <c r="S1771" s="17"/>
      <c r="T1771" s="17"/>
      <c r="U1771" s="17"/>
      <c r="V1771" s="17"/>
      <c r="W1771" s="17"/>
      <c r="X1771" s="17"/>
      <c r="Y1771" s="13">
        <v>100</v>
      </c>
      <c r="Z1771" s="19">
        <v>94.76</v>
      </c>
      <c r="AA1771" s="22">
        <v>10423200</v>
      </c>
      <c r="AB1771" s="19">
        <f t="shared" si="555"/>
        <v>94.756363636363645</v>
      </c>
      <c r="AC1771" s="22">
        <f t="shared" si="551"/>
        <v>10423200</v>
      </c>
      <c r="AD1771" s="19">
        <f t="shared" si="556"/>
        <v>94.756363636363645</v>
      </c>
    </row>
    <row r="1772" spans="2:30">
      <c r="B1772" s="13">
        <f t="shared" si="557"/>
        <v>86</v>
      </c>
      <c r="C1772" s="74" t="s">
        <v>2334</v>
      </c>
      <c r="D1772" s="58" t="s">
        <v>2336</v>
      </c>
      <c r="E1772" s="204"/>
      <c r="F1772" s="204"/>
      <c r="G1772" s="193"/>
      <c r="H1772" s="89"/>
      <c r="I1772" s="89"/>
      <c r="J1772" s="15"/>
      <c r="K1772" s="99">
        <v>50000000</v>
      </c>
      <c r="L1772" s="13"/>
      <c r="M1772" s="17"/>
      <c r="N1772" s="17"/>
      <c r="O1772" s="17"/>
      <c r="P1772" s="18"/>
      <c r="Q1772" s="17"/>
      <c r="R1772" s="17"/>
      <c r="S1772" s="17"/>
      <c r="T1772" s="17"/>
      <c r="U1772" s="17"/>
      <c r="V1772" s="17"/>
      <c r="W1772" s="17"/>
      <c r="X1772" s="17"/>
      <c r="Y1772" s="13">
        <v>100</v>
      </c>
      <c r="Z1772" s="19">
        <v>95.79</v>
      </c>
      <c r="AA1772" s="22">
        <v>47895150</v>
      </c>
      <c r="AB1772" s="19">
        <f t="shared" si="555"/>
        <v>95.790300000000002</v>
      </c>
      <c r="AC1772" s="22">
        <f t="shared" si="551"/>
        <v>47895150</v>
      </c>
      <c r="AD1772" s="19">
        <f t="shared" si="556"/>
        <v>95.790300000000002</v>
      </c>
    </row>
    <row r="1773" spans="2:30" ht="27">
      <c r="B1773" s="13"/>
      <c r="C1773" s="86" t="s">
        <v>1049</v>
      </c>
      <c r="D1773" s="86" t="s">
        <v>1050</v>
      </c>
      <c r="E1773" s="485"/>
      <c r="F1773" s="485"/>
      <c r="G1773" s="441"/>
      <c r="H1773" s="87"/>
      <c r="I1773" s="87"/>
      <c r="J1773" s="209"/>
      <c r="K1773" s="16"/>
      <c r="L1773" s="13"/>
      <c r="M1773" s="17"/>
      <c r="N1773" s="17"/>
      <c r="O1773" s="18"/>
      <c r="P1773" s="18"/>
      <c r="Q1773" s="17"/>
      <c r="R1773" s="17"/>
      <c r="S1773" s="17"/>
      <c r="T1773" s="17"/>
      <c r="U1773" s="17"/>
      <c r="V1773" s="17"/>
      <c r="W1773" s="17"/>
      <c r="X1773" s="17"/>
      <c r="Y1773" s="153"/>
      <c r="Z1773" s="227"/>
      <c r="AA1773" s="228"/>
      <c r="AB1773" s="19"/>
      <c r="AC1773" s="228"/>
      <c r="AD1773" s="19"/>
    </row>
    <row r="1774" spans="2:30">
      <c r="B1774" s="13">
        <f>B1772+1</f>
        <v>87</v>
      </c>
      <c r="C1774" s="74" t="s">
        <v>375</v>
      </c>
      <c r="D1774" s="74" t="s">
        <v>1051</v>
      </c>
      <c r="E1774" s="204"/>
      <c r="F1774" s="204"/>
      <c r="G1774" s="193"/>
      <c r="H1774" s="89"/>
      <c r="I1774" s="89"/>
      <c r="J1774" s="15">
        <v>14500000</v>
      </c>
      <c r="K1774" s="99">
        <v>14500000</v>
      </c>
      <c r="L1774" s="234"/>
      <c r="M1774" s="22"/>
      <c r="N1774" s="235"/>
      <c r="O1774" s="18"/>
      <c r="P1774" s="18"/>
      <c r="Q1774" s="17"/>
      <c r="R1774" s="17"/>
      <c r="S1774" s="17"/>
      <c r="T1774" s="17"/>
      <c r="U1774" s="17"/>
      <c r="V1774" s="17"/>
      <c r="W1774" s="17"/>
      <c r="X1774" s="17"/>
      <c r="Y1774" s="229">
        <f>AB1774</f>
        <v>72.41379310344827</v>
      </c>
      <c r="Z1774" s="19">
        <f>AD1774</f>
        <v>72.41379310344827</v>
      </c>
      <c r="AA1774" s="22">
        <v>10500000</v>
      </c>
      <c r="AB1774" s="19">
        <f t="shared" si="555"/>
        <v>72.41379310344827</v>
      </c>
      <c r="AC1774" s="22">
        <f>AA1774</f>
        <v>10500000</v>
      </c>
      <c r="AD1774" s="19">
        <f t="shared" si="556"/>
        <v>72.41379310344827</v>
      </c>
    </row>
    <row r="1775" spans="2:30">
      <c r="B1775" s="13">
        <f t="shared" si="550"/>
        <v>88</v>
      </c>
      <c r="C1775" s="74" t="s">
        <v>377</v>
      </c>
      <c r="D1775" s="74" t="s">
        <v>1052</v>
      </c>
      <c r="E1775" s="204"/>
      <c r="F1775" s="204"/>
      <c r="G1775" s="193"/>
      <c r="H1775" s="89"/>
      <c r="I1775" s="89"/>
      <c r="J1775" s="15">
        <v>40000000</v>
      </c>
      <c r="K1775" s="99">
        <v>40515000</v>
      </c>
      <c r="L1775" s="234"/>
      <c r="M1775" s="17"/>
      <c r="N1775" s="18"/>
      <c r="O1775" s="18"/>
      <c r="P1775" s="18"/>
      <c r="Q1775" s="17"/>
      <c r="R1775" s="17"/>
      <c r="S1775" s="17"/>
      <c r="T1775" s="17"/>
      <c r="U1775" s="17"/>
      <c r="V1775" s="17"/>
      <c r="W1775" s="17"/>
      <c r="X1775" s="17"/>
      <c r="Y1775" s="229">
        <f t="shared" ref="Y1775:Y1780" si="558">AB1775</f>
        <v>11.606812291743799</v>
      </c>
      <c r="Z1775" s="19">
        <f t="shared" ref="Z1775:Z1780" si="559">AD1775</f>
        <v>11.606812291743799</v>
      </c>
      <c r="AA1775" s="20">
        <v>4702500</v>
      </c>
      <c r="AB1775" s="19">
        <f t="shared" si="555"/>
        <v>11.606812291743799</v>
      </c>
      <c r="AC1775" s="22">
        <f t="shared" ref="AC1775:AC1786" si="560">AA1775</f>
        <v>4702500</v>
      </c>
      <c r="AD1775" s="19">
        <f t="shared" si="556"/>
        <v>11.606812291743799</v>
      </c>
    </row>
    <row r="1776" spans="2:30">
      <c r="B1776" s="13">
        <f t="shared" si="550"/>
        <v>89</v>
      </c>
      <c r="C1776" s="74" t="s">
        <v>614</v>
      </c>
      <c r="D1776" s="74" t="s">
        <v>1053</v>
      </c>
      <c r="E1776" s="204"/>
      <c r="F1776" s="204"/>
      <c r="G1776" s="193"/>
      <c r="H1776" s="89"/>
      <c r="I1776" s="89"/>
      <c r="J1776" s="15">
        <v>23200000</v>
      </c>
      <c r="K1776" s="99">
        <v>25435000</v>
      </c>
      <c r="L1776" s="234"/>
      <c r="M1776" s="17"/>
      <c r="N1776" s="18"/>
      <c r="O1776" s="18"/>
      <c r="P1776" s="18"/>
      <c r="Q1776" s="17"/>
      <c r="R1776" s="17"/>
      <c r="S1776" s="17"/>
      <c r="T1776" s="17"/>
      <c r="U1776" s="17"/>
      <c r="V1776" s="17"/>
      <c r="W1776" s="17"/>
      <c r="X1776" s="17"/>
      <c r="Y1776" s="229">
        <v>10.24</v>
      </c>
      <c r="Z1776" s="19">
        <v>13.47</v>
      </c>
      <c r="AA1776" s="20">
        <v>12386750</v>
      </c>
      <c r="AB1776" s="19">
        <f t="shared" si="555"/>
        <v>48.699626498918811</v>
      </c>
      <c r="AC1776" s="22">
        <f t="shared" si="560"/>
        <v>12386750</v>
      </c>
      <c r="AD1776" s="19">
        <f t="shared" si="556"/>
        <v>48.699626498918811</v>
      </c>
    </row>
    <row r="1777" spans="2:30">
      <c r="B1777" s="13">
        <f t="shared" si="550"/>
        <v>90</v>
      </c>
      <c r="C1777" s="74" t="s">
        <v>379</v>
      </c>
      <c r="D1777" s="74" t="s">
        <v>1054</v>
      </c>
      <c r="E1777" s="204"/>
      <c r="F1777" s="204"/>
      <c r="G1777" s="193"/>
      <c r="H1777" s="89"/>
      <c r="I1777" s="89"/>
      <c r="J1777" s="15">
        <v>60000000</v>
      </c>
      <c r="K1777" s="99">
        <v>100000000</v>
      </c>
      <c r="L1777" s="57"/>
      <c r="M1777" s="22"/>
      <c r="N1777" s="18"/>
      <c r="O1777" s="18"/>
      <c r="P1777" s="18"/>
      <c r="Q1777" s="17"/>
      <c r="R1777" s="17"/>
      <c r="S1777" s="17"/>
      <c r="T1777" s="17"/>
      <c r="U1777" s="17"/>
      <c r="V1777" s="17"/>
      <c r="W1777" s="17"/>
      <c r="X1777" s="17"/>
      <c r="Y1777" s="229">
        <f t="shared" si="558"/>
        <v>99.9</v>
      </c>
      <c r="Z1777" s="19">
        <f t="shared" si="559"/>
        <v>99.9</v>
      </c>
      <c r="AA1777" s="20">
        <v>99900000</v>
      </c>
      <c r="AB1777" s="19">
        <f t="shared" si="555"/>
        <v>99.9</v>
      </c>
      <c r="AC1777" s="22">
        <f t="shared" si="560"/>
        <v>99900000</v>
      </c>
      <c r="AD1777" s="19">
        <f t="shared" si="556"/>
        <v>99.9</v>
      </c>
    </row>
    <row r="1778" spans="2:30" ht="27">
      <c r="B1778" s="13">
        <f t="shared" si="550"/>
        <v>91</v>
      </c>
      <c r="C1778" s="74" t="s">
        <v>655</v>
      </c>
      <c r="D1778" s="74" t="s">
        <v>1055</v>
      </c>
      <c r="E1778" s="204"/>
      <c r="F1778" s="204"/>
      <c r="G1778" s="193"/>
      <c r="H1778" s="89"/>
      <c r="I1778" s="89"/>
      <c r="J1778" s="15">
        <v>73000000</v>
      </c>
      <c r="K1778" s="99">
        <v>73000000</v>
      </c>
      <c r="L1778" s="234"/>
      <c r="M1778" s="17"/>
      <c r="N1778" s="18"/>
      <c r="O1778" s="18"/>
      <c r="P1778" s="18"/>
      <c r="Q1778" s="17"/>
      <c r="R1778" s="17"/>
      <c r="S1778" s="17"/>
      <c r="T1778" s="17"/>
      <c r="U1778" s="17"/>
      <c r="V1778" s="17"/>
      <c r="W1778" s="17"/>
      <c r="X1778" s="17"/>
      <c r="Y1778" s="229">
        <f t="shared" si="558"/>
        <v>64.657534246575338</v>
      </c>
      <c r="Z1778" s="19">
        <f t="shared" si="559"/>
        <v>64.657534246575338</v>
      </c>
      <c r="AA1778" s="20">
        <v>47200000</v>
      </c>
      <c r="AB1778" s="19">
        <f t="shared" si="555"/>
        <v>64.657534246575338</v>
      </c>
      <c r="AC1778" s="22">
        <f t="shared" si="560"/>
        <v>47200000</v>
      </c>
      <c r="AD1778" s="19">
        <f t="shared" si="556"/>
        <v>64.657534246575338</v>
      </c>
    </row>
    <row r="1779" spans="2:30" ht="27">
      <c r="B1779" s="13">
        <f t="shared" si="550"/>
        <v>92</v>
      </c>
      <c r="C1779" s="74" t="s">
        <v>381</v>
      </c>
      <c r="D1779" s="74" t="s">
        <v>1056</v>
      </c>
      <c r="E1779" s="204"/>
      <c r="F1779" s="204"/>
      <c r="G1779" s="193"/>
      <c r="H1779" s="89"/>
      <c r="I1779" s="89"/>
      <c r="J1779" s="15">
        <v>54000000</v>
      </c>
      <c r="K1779" s="99">
        <v>54000000</v>
      </c>
      <c r="L1779" s="234"/>
      <c r="M1779" s="17"/>
      <c r="N1779" s="18"/>
      <c r="O1779" s="18"/>
      <c r="P1779" s="18"/>
      <c r="Q1779" s="17"/>
      <c r="R1779" s="17"/>
      <c r="S1779" s="17"/>
      <c r="T1779" s="17"/>
      <c r="U1779" s="17"/>
      <c r="V1779" s="17"/>
      <c r="W1779" s="17"/>
      <c r="X1779" s="17"/>
      <c r="Y1779" s="229">
        <f t="shared" si="558"/>
        <v>99.95</v>
      </c>
      <c r="Z1779" s="19">
        <f>AD1779</f>
        <v>99.95</v>
      </c>
      <c r="AA1779" s="20">
        <v>53973000</v>
      </c>
      <c r="AB1779" s="19">
        <f t="shared" si="555"/>
        <v>99.95</v>
      </c>
      <c r="AC1779" s="22">
        <f t="shared" si="560"/>
        <v>53973000</v>
      </c>
      <c r="AD1779" s="19">
        <f t="shared" si="556"/>
        <v>99.95</v>
      </c>
    </row>
    <row r="1780" spans="2:30" ht="27">
      <c r="B1780" s="13">
        <f t="shared" si="550"/>
        <v>93</v>
      </c>
      <c r="C1780" s="74" t="s">
        <v>617</v>
      </c>
      <c r="D1780" s="74" t="s">
        <v>1057</v>
      </c>
      <c r="E1780" s="204"/>
      <c r="F1780" s="204"/>
      <c r="G1780" s="193"/>
      <c r="H1780" s="89"/>
      <c r="I1780" s="89"/>
      <c r="J1780" s="15">
        <v>65000000</v>
      </c>
      <c r="K1780" s="99">
        <v>70000000</v>
      </c>
      <c r="L1780" s="234"/>
      <c r="M1780" s="17"/>
      <c r="N1780" s="18"/>
      <c r="O1780" s="18"/>
      <c r="P1780" s="18"/>
      <c r="Q1780" s="17"/>
      <c r="R1780" s="17"/>
      <c r="S1780" s="17"/>
      <c r="T1780" s="17"/>
      <c r="U1780" s="17"/>
      <c r="V1780" s="17"/>
      <c r="W1780" s="17"/>
      <c r="X1780" s="17"/>
      <c r="Y1780" s="229">
        <f t="shared" si="558"/>
        <v>98.093142857142851</v>
      </c>
      <c r="Z1780" s="19">
        <f t="shared" si="559"/>
        <v>98.093142857142851</v>
      </c>
      <c r="AA1780" s="20">
        <v>68665200</v>
      </c>
      <c r="AB1780" s="19">
        <f t="shared" si="555"/>
        <v>98.093142857142851</v>
      </c>
      <c r="AC1780" s="22">
        <f t="shared" si="560"/>
        <v>68665200</v>
      </c>
      <c r="AD1780" s="19">
        <f t="shared" si="556"/>
        <v>98.093142857142851</v>
      </c>
    </row>
    <row r="1781" spans="2:30" ht="27">
      <c r="B1781" s="13">
        <f t="shared" si="550"/>
        <v>94</v>
      </c>
      <c r="C1781" s="74" t="s">
        <v>771</v>
      </c>
      <c r="D1781" s="74" t="s">
        <v>1058</v>
      </c>
      <c r="E1781" s="204"/>
      <c r="F1781" s="204"/>
      <c r="G1781" s="193"/>
      <c r="H1781" s="89"/>
      <c r="I1781" s="89"/>
      <c r="J1781" s="15">
        <v>188200000</v>
      </c>
      <c r="K1781" s="99">
        <v>192950000</v>
      </c>
      <c r="L1781" s="234"/>
      <c r="M1781" s="17"/>
      <c r="N1781" s="18"/>
      <c r="O1781" s="18"/>
      <c r="P1781" s="18"/>
      <c r="Q1781" s="17"/>
      <c r="R1781" s="17"/>
      <c r="S1781" s="17"/>
      <c r="T1781" s="17"/>
      <c r="U1781" s="17"/>
      <c r="V1781" s="17"/>
      <c r="W1781" s="17"/>
      <c r="X1781" s="17"/>
      <c r="Y1781" s="229">
        <f>AB1781</f>
        <v>94.955798911635142</v>
      </c>
      <c r="Z1781" s="19">
        <f>AD1781</f>
        <v>94.955798911635142</v>
      </c>
      <c r="AA1781" s="22">
        <v>183217214</v>
      </c>
      <c r="AB1781" s="19">
        <f t="shared" si="555"/>
        <v>94.955798911635142</v>
      </c>
      <c r="AC1781" s="22">
        <f t="shared" si="560"/>
        <v>183217214</v>
      </c>
      <c r="AD1781" s="19">
        <f t="shared" si="556"/>
        <v>94.955798911635142</v>
      </c>
    </row>
    <row r="1782" spans="2:30">
      <c r="B1782" s="13">
        <f t="shared" si="550"/>
        <v>95</v>
      </c>
      <c r="C1782" s="74" t="s">
        <v>383</v>
      </c>
      <c r="D1782" s="74" t="s">
        <v>1059</v>
      </c>
      <c r="E1782" s="204"/>
      <c r="F1782" s="204"/>
      <c r="G1782" s="193"/>
      <c r="H1782" s="89"/>
      <c r="I1782" s="89"/>
      <c r="J1782" s="15">
        <v>25000000</v>
      </c>
      <c r="K1782" s="99">
        <v>25000000</v>
      </c>
      <c r="L1782" s="234"/>
      <c r="M1782" s="17"/>
      <c r="N1782" s="18"/>
      <c r="O1782" s="18"/>
      <c r="P1782" s="18"/>
      <c r="Q1782" s="17"/>
      <c r="R1782" s="17"/>
      <c r="S1782" s="17"/>
      <c r="T1782" s="17"/>
      <c r="U1782" s="17"/>
      <c r="V1782" s="17"/>
      <c r="W1782" s="17"/>
      <c r="X1782" s="17"/>
      <c r="Y1782" s="229">
        <f>AB1782</f>
        <v>95.08</v>
      </c>
      <c r="Z1782" s="19">
        <f>AD1782</f>
        <v>95.08</v>
      </c>
      <c r="AA1782" s="20">
        <v>23770000</v>
      </c>
      <c r="AB1782" s="19">
        <f t="shared" si="555"/>
        <v>95.08</v>
      </c>
      <c r="AC1782" s="22">
        <f t="shared" si="560"/>
        <v>23770000</v>
      </c>
      <c r="AD1782" s="19">
        <f t="shared" si="556"/>
        <v>95.08</v>
      </c>
    </row>
    <row r="1783" spans="2:30">
      <c r="B1783" s="13">
        <f t="shared" si="550"/>
        <v>96</v>
      </c>
      <c r="C1783" s="74" t="s">
        <v>385</v>
      </c>
      <c r="D1783" s="74" t="s">
        <v>1060</v>
      </c>
      <c r="E1783" s="204"/>
      <c r="F1783" s="204"/>
      <c r="G1783" s="193"/>
      <c r="H1783" s="89"/>
      <c r="I1783" s="89"/>
      <c r="J1783" s="15">
        <v>39000000</v>
      </c>
      <c r="K1783" s="99">
        <v>39000000</v>
      </c>
      <c r="L1783" s="234"/>
      <c r="M1783" s="17"/>
      <c r="N1783" s="17"/>
      <c r="O1783" s="18"/>
      <c r="P1783" s="18"/>
      <c r="Q1783" s="17"/>
      <c r="R1783" s="17"/>
      <c r="S1783" s="17"/>
      <c r="T1783" s="17"/>
      <c r="U1783" s="17"/>
      <c r="V1783" s="17"/>
      <c r="W1783" s="17"/>
      <c r="X1783" s="17"/>
      <c r="Y1783" s="229">
        <f t="shared" ref="Y1783:Y1784" si="561">AB1783</f>
        <v>99.97179487179487</v>
      </c>
      <c r="Z1783" s="19">
        <f t="shared" ref="Z1783" si="562">AD1783</f>
        <v>99.97179487179487</v>
      </c>
      <c r="AA1783" s="20">
        <v>38989000</v>
      </c>
      <c r="AB1783" s="19">
        <f t="shared" si="555"/>
        <v>99.97179487179487</v>
      </c>
      <c r="AC1783" s="22">
        <f t="shared" si="560"/>
        <v>38989000</v>
      </c>
      <c r="AD1783" s="19">
        <f t="shared" si="556"/>
        <v>99.97179487179487</v>
      </c>
    </row>
    <row r="1784" spans="2:30">
      <c r="B1784" s="13">
        <f t="shared" si="550"/>
        <v>97</v>
      </c>
      <c r="C1784" s="74" t="s">
        <v>621</v>
      </c>
      <c r="D1784" s="74" t="s">
        <v>1061</v>
      </c>
      <c r="E1784" s="204"/>
      <c r="F1784" s="204"/>
      <c r="G1784" s="193"/>
      <c r="H1784" s="89"/>
      <c r="I1784" s="89"/>
      <c r="J1784" s="15">
        <v>30000000</v>
      </c>
      <c r="K1784" s="99">
        <v>30000000</v>
      </c>
      <c r="L1784" s="234"/>
      <c r="M1784" s="17"/>
      <c r="N1784" s="17"/>
      <c r="O1784" s="17"/>
      <c r="P1784" s="17"/>
      <c r="Q1784" s="17"/>
      <c r="R1784" s="17"/>
      <c r="S1784" s="17"/>
      <c r="T1784" s="17"/>
      <c r="U1784" s="17"/>
      <c r="V1784" s="17"/>
      <c r="W1784" s="17"/>
      <c r="X1784" s="17"/>
      <c r="Y1784" s="229">
        <f t="shared" si="561"/>
        <v>88.783333333333331</v>
      </c>
      <c r="Z1784" s="19">
        <v>10</v>
      </c>
      <c r="AA1784" s="20">
        <v>26635000</v>
      </c>
      <c r="AB1784" s="19">
        <f t="shared" si="555"/>
        <v>88.783333333333331</v>
      </c>
      <c r="AC1784" s="22">
        <f t="shared" si="560"/>
        <v>26635000</v>
      </c>
      <c r="AD1784" s="19">
        <f t="shared" si="556"/>
        <v>88.783333333333331</v>
      </c>
    </row>
    <row r="1785" spans="2:30">
      <c r="B1785" s="45">
        <f t="shared" si="550"/>
        <v>98</v>
      </c>
      <c r="C1785" s="93" t="s">
        <v>623</v>
      </c>
      <c r="D1785" s="93" t="s">
        <v>1062</v>
      </c>
      <c r="E1785" s="489"/>
      <c r="F1785" s="489"/>
      <c r="G1785" s="240"/>
      <c r="H1785" s="186"/>
      <c r="I1785" s="186"/>
      <c r="J1785" s="15">
        <v>35000000</v>
      </c>
      <c r="K1785" s="99">
        <v>39250000</v>
      </c>
      <c r="L1785" s="234"/>
      <c r="M1785" s="44"/>
      <c r="N1785" s="44"/>
      <c r="O1785" s="18"/>
      <c r="P1785" s="18"/>
      <c r="Q1785" s="44"/>
      <c r="R1785" s="44"/>
      <c r="S1785" s="44"/>
      <c r="T1785" s="44"/>
      <c r="U1785" s="44"/>
      <c r="V1785" s="44"/>
      <c r="W1785" s="44"/>
      <c r="X1785" s="44"/>
      <c r="Y1785" s="229">
        <f>AB1785</f>
        <v>94.394904458598731</v>
      </c>
      <c r="Z1785" s="19">
        <f>AD1785</f>
        <v>94.394904458598731</v>
      </c>
      <c r="AA1785" s="100">
        <v>37050000</v>
      </c>
      <c r="AB1785" s="19">
        <f t="shared" si="555"/>
        <v>94.394904458598731</v>
      </c>
      <c r="AC1785" s="73">
        <f t="shared" si="560"/>
        <v>37050000</v>
      </c>
      <c r="AD1785" s="19">
        <f t="shared" si="556"/>
        <v>94.394904458598731</v>
      </c>
    </row>
    <row r="1786" spans="2:30">
      <c r="B1786" s="45">
        <f t="shared" si="550"/>
        <v>99</v>
      </c>
      <c r="C1786" s="93" t="s">
        <v>960</v>
      </c>
      <c r="D1786" s="376" t="s">
        <v>2148</v>
      </c>
      <c r="E1786" s="347"/>
      <c r="F1786" s="347"/>
      <c r="G1786" s="498"/>
      <c r="H1786" s="105"/>
      <c r="I1786" s="105"/>
      <c r="J1786" s="598"/>
      <c r="K1786" s="99">
        <v>195000000</v>
      </c>
      <c r="L1786" s="716"/>
      <c r="M1786" s="51"/>
      <c r="N1786" s="51"/>
      <c r="O1786" s="676"/>
      <c r="P1786" s="676"/>
      <c r="Q1786" s="51"/>
      <c r="R1786" s="51"/>
      <c r="S1786" s="51"/>
      <c r="T1786" s="51"/>
      <c r="U1786" s="51"/>
      <c r="V1786" s="51"/>
      <c r="W1786" s="51"/>
      <c r="X1786" s="51"/>
      <c r="Y1786" s="229">
        <f>AB1786</f>
        <v>98.464102564102561</v>
      </c>
      <c r="Z1786" s="19">
        <f>AD1786</f>
        <v>98.464102564102561</v>
      </c>
      <c r="AA1786" s="239">
        <v>192005000</v>
      </c>
      <c r="AB1786" s="19">
        <f t="shared" si="555"/>
        <v>98.464102564102561</v>
      </c>
      <c r="AC1786" s="112">
        <f t="shared" si="560"/>
        <v>192005000</v>
      </c>
      <c r="AD1786" s="19">
        <f t="shared" si="556"/>
        <v>98.464102564102561</v>
      </c>
    </row>
    <row r="1787" spans="2:30" ht="16.5">
      <c r="B1787" s="37">
        <v>131</v>
      </c>
      <c r="C1787" s="855" t="s">
        <v>1833</v>
      </c>
      <c r="D1787" s="855"/>
      <c r="E1787" s="483"/>
      <c r="F1787" s="483">
        <v>94</v>
      </c>
      <c r="G1787" s="468"/>
      <c r="H1787" s="483"/>
      <c r="I1787" s="468"/>
      <c r="J1787" s="824">
        <f>SUM(J1676:J1785)</f>
        <v>28902012000</v>
      </c>
      <c r="K1787" s="824">
        <f>SUM(K1676:K1786)</f>
        <v>40245922000</v>
      </c>
      <c r="L1787" s="295"/>
      <c r="M1787" s="28"/>
      <c r="N1787" s="28"/>
      <c r="O1787" s="28"/>
      <c r="P1787" s="28"/>
      <c r="Q1787" s="28"/>
      <c r="R1787" s="28"/>
      <c r="S1787" s="28"/>
      <c r="T1787" s="28"/>
      <c r="U1787" s="28"/>
      <c r="V1787" s="28"/>
      <c r="W1787" s="28"/>
      <c r="X1787" s="28"/>
      <c r="Y1787" s="84">
        <f>SUM(Y1676:Y1786)/94</f>
        <v>94.504326578651813</v>
      </c>
      <c r="Z1787" s="84">
        <f>SUM(Z1676:Z1786)/94</f>
        <v>87.434716649573815</v>
      </c>
      <c r="AA1787" s="68">
        <f>SUM(AA1676:AA1786)</f>
        <v>34490733999</v>
      </c>
      <c r="AB1787" s="84">
        <f>SUM(AB1676:AB1786)/94</f>
        <v>78.195357488190481</v>
      </c>
      <c r="AC1787" s="68">
        <f>SUM(AC1676:AC1786)</f>
        <v>34444588999</v>
      </c>
      <c r="AD1787" s="84">
        <f>SUM(AD1676:AD1786)/94</f>
        <v>78.188357488190462</v>
      </c>
    </row>
    <row r="1788" spans="2:30">
      <c r="B1788" s="66"/>
      <c r="C1788" s="63" t="s">
        <v>1834</v>
      </c>
      <c r="D1788" s="64" t="s">
        <v>1835</v>
      </c>
      <c r="E1788" s="484"/>
      <c r="F1788" s="484"/>
      <c r="G1788" s="472"/>
      <c r="H1788" s="484"/>
      <c r="I1788" s="472"/>
      <c r="J1788" s="237"/>
      <c r="K1788" s="65"/>
      <c r="L1788" s="66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  <c r="W1788" s="63"/>
      <c r="X1788" s="63"/>
      <c r="Y1788" s="63"/>
      <c r="Z1788" s="63"/>
      <c r="AA1788" s="63"/>
      <c r="AB1788" s="63"/>
      <c r="AC1788" s="63"/>
      <c r="AD1788" s="63"/>
    </row>
    <row r="1789" spans="2:30" ht="27">
      <c r="B1789" s="13"/>
      <c r="C1789" s="86" t="s">
        <v>942</v>
      </c>
      <c r="D1789" s="86" t="s">
        <v>26</v>
      </c>
      <c r="E1789" s="485"/>
      <c r="F1789" s="485"/>
      <c r="G1789" s="441"/>
      <c r="H1789" s="87"/>
      <c r="I1789" s="87"/>
      <c r="J1789" s="209"/>
      <c r="K1789" s="16"/>
      <c r="L1789" s="13"/>
      <c r="M1789" s="17"/>
      <c r="N1789" s="17"/>
      <c r="O1789" s="17"/>
      <c r="P1789" s="17"/>
      <c r="Q1789" s="17"/>
      <c r="R1789" s="17"/>
      <c r="S1789" s="17"/>
      <c r="T1789" s="17"/>
      <c r="U1789" s="17"/>
      <c r="V1789" s="17"/>
      <c r="W1789" s="17"/>
      <c r="X1789" s="17"/>
      <c r="Y1789" s="17"/>
      <c r="Z1789" s="17"/>
      <c r="AA1789" s="17" t="s">
        <v>1</v>
      </c>
      <c r="AB1789" s="17"/>
      <c r="AC1789" s="17"/>
      <c r="AD1789" s="17"/>
    </row>
    <row r="1790" spans="2:30">
      <c r="B1790" s="13">
        <v>1</v>
      </c>
      <c r="C1790" s="74" t="s">
        <v>203</v>
      </c>
      <c r="D1790" s="74" t="s">
        <v>28</v>
      </c>
      <c r="E1790" s="204"/>
      <c r="F1790" s="204"/>
      <c r="G1790" s="193"/>
      <c r="H1790" s="89"/>
      <c r="I1790" s="89"/>
      <c r="J1790" s="15">
        <v>758031000</v>
      </c>
      <c r="K1790" s="99">
        <v>854169000</v>
      </c>
      <c r="L1790" s="13"/>
      <c r="M1790" s="17"/>
      <c r="N1790" s="17"/>
      <c r="O1790" s="17"/>
      <c r="P1790" s="17"/>
      <c r="Q1790" s="17"/>
      <c r="R1790" s="17"/>
      <c r="S1790" s="17"/>
      <c r="T1790" s="17"/>
      <c r="U1790" s="17"/>
      <c r="V1790" s="17"/>
      <c r="W1790" s="17"/>
      <c r="X1790" s="17"/>
      <c r="Y1790" s="53">
        <v>100</v>
      </c>
      <c r="Z1790" s="19">
        <v>100</v>
      </c>
      <c r="AA1790" s="22">
        <v>500715288</v>
      </c>
      <c r="AB1790" s="19">
        <f>AA1790/K1790*100</f>
        <v>58.620166266862881</v>
      </c>
      <c r="AC1790" s="20">
        <f>AA1790</f>
        <v>500715288</v>
      </c>
      <c r="AD1790" s="19">
        <f>AC1790/K1790*100</f>
        <v>58.620166266862881</v>
      </c>
    </row>
    <row r="1791" spans="2:30">
      <c r="B1791" s="13">
        <f>B1790+1</f>
        <v>2</v>
      </c>
      <c r="C1791" s="74" t="s">
        <v>210</v>
      </c>
      <c r="D1791" s="74" t="s">
        <v>30</v>
      </c>
      <c r="E1791" s="204"/>
      <c r="F1791" s="204"/>
      <c r="G1791" s="193"/>
      <c r="H1791" s="89"/>
      <c r="I1791" s="89"/>
      <c r="J1791" s="15">
        <v>296990000</v>
      </c>
      <c r="K1791" s="99">
        <v>296990000</v>
      </c>
      <c r="L1791" s="13"/>
      <c r="M1791" s="17"/>
      <c r="N1791" s="17"/>
      <c r="O1791" s="17"/>
      <c r="P1791" s="17"/>
      <c r="Q1791" s="17"/>
      <c r="R1791" s="17"/>
      <c r="S1791" s="17"/>
      <c r="T1791" s="17"/>
      <c r="U1791" s="17"/>
      <c r="V1791" s="17"/>
      <c r="W1791" s="17"/>
      <c r="X1791" s="17"/>
      <c r="Y1791" s="53">
        <v>100</v>
      </c>
      <c r="Z1791" s="19">
        <v>100</v>
      </c>
      <c r="AA1791" s="22">
        <v>73655000</v>
      </c>
      <c r="AB1791" s="19">
        <f t="shared" ref="AB1791:AB1803" si="563">AA1791/K1791*100</f>
        <v>24.800498333277215</v>
      </c>
      <c r="AC1791" s="20">
        <f t="shared" ref="AC1791:AC1803" si="564">AA1791</f>
        <v>73655000</v>
      </c>
      <c r="AD1791" s="19">
        <f t="shared" ref="AD1791:AD1803" si="565">AC1791/K1791*100</f>
        <v>24.800498333277215</v>
      </c>
    </row>
    <row r="1792" spans="2:30">
      <c r="B1792" s="13">
        <f t="shared" ref="B1792:B1803" si="566">B1791+1</f>
        <v>3</v>
      </c>
      <c r="C1792" s="74" t="s">
        <v>204</v>
      </c>
      <c r="D1792" s="74" t="s">
        <v>32</v>
      </c>
      <c r="E1792" s="204"/>
      <c r="F1792" s="204"/>
      <c r="G1792" s="193"/>
      <c r="H1792" s="89"/>
      <c r="I1792" s="89"/>
      <c r="J1792" s="15">
        <v>1119853000</v>
      </c>
      <c r="K1792" s="99">
        <v>1288800000</v>
      </c>
      <c r="L1792" s="13"/>
      <c r="M1792" s="17"/>
      <c r="N1792" s="17"/>
      <c r="O1792" s="17"/>
      <c r="P1792" s="17"/>
      <c r="Q1792" s="17"/>
      <c r="R1792" s="17"/>
      <c r="S1792" s="17"/>
      <c r="T1792" s="17"/>
      <c r="U1792" s="17"/>
      <c r="V1792" s="17"/>
      <c r="W1792" s="17"/>
      <c r="X1792" s="17"/>
      <c r="Y1792" s="53">
        <v>100</v>
      </c>
      <c r="Z1792" s="19">
        <v>100</v>
      </c>
      <c r="AA1792" s="22">
        <v>801971461</v>
      </c>
      <c r="AB1792" s="19">
        <f t="shared" si="563"/>
        <v>62.226215161390442</v>
      </c>
      <c r="AC1792" s="20">
        <f t="shared" si="564"/>
        <v>801971461</v>
      </c>
      <c r="AD1792" s="19">
        <f t="shared" si="565"/>
        <v>62.226215161390442</v>
      </c>
    </row>
    <row r="1793" spans="2:30">
      <c r="B1793" s="13">
        <f t="shared" si="566"/>
        <v>4</v>
      </c>
      <c r="C1793" s="74" t="s">
        <v>205</v>
      </c>
      <c r="D1793" s="74" t="s">
        <v>34</v>
      </c>
      <c r="E1793" s="204"/>
      <c r="F1793" s="204"/>
      <c r="G1793" s="193"/>
      <c r="H1793" s="89"/>
      <c r="I1793" s="89"/>
      <c r="J1793" s="15">
        <v>630800000</v>
      </c>
      <c r="K1793" s="99">
        <v>786850000</v>
      </c>
      <c r="L1793" s="13"/>
      <c r="M1793" s="17"/>
      <c r="N1793" s="17"/>
      <c r="O1793" s="17"/>
      <c r="P1793" s="17"/>
      <c r="Q1793" s="17"/>
      <c r="R1793" s="17"/>
      <c r="S1793" s="17"/>
      <c r="T1793" s="17"/>
      <c r="U1793" s="17"/>
      <c r="V1793" s="17"/>
      <c r="W1793" s="17"/>
      <c r="X1793" s="17"/>
      <c r="Y1793" s="53">
        <v>100</v>
      </c>
      <c r="Z1793" s="19">
        <v>100</v>
      </c>
      <c r="AA1793" s="22">
        <v>659658500</v>
      </c>
      <c r="AB1793" s="19">
        <f t="shared" si="563"/>
        <v>83.835356166994984</v>
      </c>
      <c r="AC1793" s="20">
        <f t="shared" si="564"/>
        <v>659658500</v>
      </c>
      <c r="AD1793" s="19">
        <f t="shared" si="565"/>
        <v>83.835356166994984</v>
      </c>
    </row>
    <row r="1794" spans="2:30" ht="27">
      <c r="B1794" s="13">
        <f t="shared" si="566"/>
        <v>5</v>
      </c>
      <c r="C1794" s="74" t="s">
        <v>637</v>
      </c>
      <c r="D1794" s="74" t="s">
        <v>638</v>
      </c>
      <c r="E1794" s="204"/>
      <c r="F1794" s="204"/>
      <c r="G1794" s="193"/>
      <c r="H1794" s="89"/>
      <c r="I1794" s="89"/>
      <c r="J1794" s="15">
        <v>154125000</v>
      </c>
      <c r="K1794" s="99">
        <v>154125000</v>
      </c>
      <c r="L1794" s="13"/>
      <c r="M1794" s="17"/>
      <c r="N1794" s="17"/>
      <c r="O1794" s="17"/>
      <c r="P1794" s="17"/>
      <c r="Q1794" s="17"/>
      <c r="R1794" s="17"/>
      <c r="S1794" s="17"/>
      <c r="T1794" s="17"/>
      <c r="U1794" s="17"/>
      <c r="V1794" s="17"/>
      <c r="W1794" s="17"/>
      <c r="X1794" s="17"/>
      <c r="Y1794" s="53">
        <v>100</v>
      </c>
      <c r="Z1794" s="19">
        <v>100</v>
      </c>
      <c r="AA1794" s="22">
        <v>72000000</v>
      </c>
      <c r="AB1794" s="19">
        <f t="shared" si="563"/>
        <v>46.715328467153284</v>
      </c>
      <c r="AC1794" s="20">
        <f t="shared" si="564"/>
        <v>72000000</v>
      </c>
      <c r="AD1794" s="19">
        <f t="shared" si="565"/>
        <v>46.715328467153284</v>
      </c>
    </row>
    <row r="1795" spans="2:30">
      <c r="B1795" s="13">
        <f t="shared" si="566"/>
        <v>6</v>
      </c>
      <c r="C1795" s="74" t="s">
        <v>215</v>
      </c>
      <c r="D1795" s="74" t="s">
        <v>36</v>
      </c>
      <c r="E1795" s="204"/>
      <c r="F1795" s="204"/>
      <c r="G1795" s="193"/>
      <c r="H1795" s="89"/>
      <c r="I1795" s="89"/>
      <c r="J1795" s="15">
        <v>30000000</v>
      </c>
      <c r="K1795" s="99">
        <v>30000000</v>
      </c>
      <c r="L1795" s="13"/>
      <c r="M1795" s="17"/>
      <c r="N1795" s="17"/>
      <c r="O1795" s="17"/>
      <c r="P1795" s="17"/>
      <c r="Q1795" s="17"/>
      <c r="R1795" s="17"/>
      <c r="S1795" s="17"/>
      <c r="T1795" s="17"/>
      <c r="U1795" s="17"/>
      <c r="V1795" s="17"/>
      <c r="W1795" s="17"/>
      <c r="X1795" s="17"/>
      <c r="Y1795" s="53">
        <v>100</v>
      </c>
      <c r="Z1795" s="19">
        <v>100</v>
      </c>
      <c r="AA1795" s="22"/>
      <c r="AB1795" s="19">
        <f t="shared" si="563"/>
        <v>0</v>
      </c>
      <c r="AC1795" s="20">
        <f t="shared" si="564"/>
        <v>0</v>
      </c>
      <c r="AD1795" s="19">
        <f t="shared" si="565"/>
        <v>0</v>
      </c>
    </row>
    <row r="1796" spans="2:30" ht="17.25" customHeight="1">
      <c r="B1796" s="13">
        <f t="shared" si="566"/>
        <v>7</v>
      </c>
      <c r="C1796" s="123" t="s">
        <v>943</v>
      </c>
      <c r="D1796" s="21" t="s">
        <v>1836</v>
      </c>
      <c r="E1796" s="204"/>
      <c r="F1796" s="204"/>
      <c r="G1796" s="193"/>
      <c r="H1796" s="89"/>
      <c r="I1796" s="89"/>
      <c r="J1796" s="15">
        <v>10775000</v>
      </c>
      <c r="K1796" s="99">
        <v>10775000</v>
      </c>
      <c r="L1796" s="13"/>
      <c r="M1796" s="17"/>
      <c r="N1796" s="17"/>
      <c r="O1796" s="17"/>
      <c r="P1796" s="17"/>
      <c r="Q1796" s="17"/>
      <c r="R1796" s="17"/>
      <c r="S1796" s="17"/>
      <c r="T1796" s="17"/>
      <c r="U1796" s="17"/>
      <c r="V1796" s="17"/>
      <c r="W1796" s="17"/>
      <c r="X1796" s="17"/>
      <c r="Y1796" s="53">
        <v>100</v>
      </c>
      <c r="Z1796" s="19">
        <v>100</v>
      </c>
      <c r="AA1796" s="22"/>
      <c r="AB1796" s="19">
        <f t="shared" si="563"/>
        <v>0</v>
      </c>
      <c r="AC1796" s="20">
        <f t="shared" si="564"/>
        <v>0</v>
      </c>
      <c r="AD1796" s="19">
        <f t="shared" si="565"/>
        <v>0</v>
      </c>
    </row>
    <row r="1797" spans="2:30" ht="27">
      <c r="B1797" s="13"/>
      <c r="C1797" s="86" t="s">
        <v>1063</v>
      </c>
      <c r="D1797" s="86" t="s">
        <v>1837</v>
      </c>
      <c r="E1797" s="485"/>
      <c r="F1797" s="485"/>
      <c r="G1797" s="441"/>
      <c r="H1797" s="87"/>
      <c r="I1797" s="87"/>
      <c r="J1797" s="209"/>
      <c r="K1797" s="16"/>
      <c r="L1797" s="13"/>
      <c r="M1797" s="17"/>
      <c r="N1797" s="17"/>
      <c r="O1797" s="17"/>
      <c r="P1797" s="17"/>
      <c r="Q1797" s="17"/>
      <c r="R1797" s="17"/>
      <c r="S1797" s="17"/>
      <c r="T1797" s="17"/>
      <c r="U1797" s="17"/>
      <c r="V1797" s="17"/>
      <c r="W1797" s="17"/>
      <c r="X1797" s="17"/>
      <c r="Y1797" s="53"/>
      <c r="Z1797" s="19"/>
      <c r="AA1797" s="22"/>
      <c r="AB1797" s="19"/>
      <c r="AC1797" s="20"/>
      <c r="AD1797" s="19"/>
    </row>
    <row r="1798" spans="2:30">
      <c r="B1798" s="13">
        <f>B1796+1</f>
        <v>8</v>
      </c>
      <c r="C1798" s="74" t="s">
        <v>644</v>
      </c>
      <c r="D1798" s="74" t="s">
        <v>1838</v>
      </c>
      <c r="E1798" s="204"/>
      <c r="F1798" s="204"/>
      <c r="G1798" s="193"/>
      <c r="H1798" s="89"/>
      <c r="I1798" s="89"/>
      <c r="J1798" s="15">
        <v>2455018000</v>
      </c>
      <c r="K1798" s="99">
        <v>2630913000</v>
      </c>
      <c r="L1798" s="13"/>
      <c r="M1798" s="17"/>
      <c r="N1798" s="17"/>
      <c r="O1798" s="17"/>
      <c r="P1798" s="17"/>
      <c r="Q1798" s="17"/>
      <c r="R1798" s="17"/>
      <c r="S1798" s="17"/>
      <c r="T1798" s="17"/>
      <c r="U1798" s="17"/>
      <c r="V1798" s="17"/>
      <c r="W1798" s="17"/>
      <c r="X1798" s="17"/>
      <c r="Y1798" s="53">
        <v>100</v>
      </c>
      <c r="Z1798" s="19">
        <v>100</v>
      </c>
      <c r="AA1798" s="22">
        <v>1686461750</v>
      </c>
      <c r="AB1798" s="19">
        <f t="shared" si="563"/>
        <v>64.101768093433719</v>
      </c>
      <c r="AC1798" s="20">
        <f t="shared" si="564"/>
        <v>1686461750</v>
      </c>
      <c r="AD1798" s="19">
        <f t="shared" si="565"/>
        <v>64.101768093433719</v>
      </c>
    </row>
    <row r="1799" spans="2:30" ht="27">
      <c r="B1799" s="13">
        <f t="shared" si="566"/>
        <v>9</v>
      </c>
      <c r="C1799" s="74" t="s">
        <v>664</v>
      </c>
      <c r="D1799" s="74" t="s">
        <v>1839</v>
      </c>
      <c r="E1799" s="204"/>
      <c r="F1799" s="204"/>
      <c r="G1799" s="193"/>
      <c r="H1799" s="89"/>
      <c r="I1799" s="89"/>
      <c r="J1799" s="15">
        <v>6037985000</v>
      </c>
      <c r="K1799" s="99">
        <v>7132190000</v>
      </c>
      <c r="L1799" s="13"/>
      <c r="M1799" s="17"/>
      <c r="N1799" s="17"/>
      <c r="O1799" s="17"/>
      <c r="P1799" s="17"/>
      <c r="Q1799" s="17"/>
      <c r="R1799" s="17"/>
      <c r="S1799" s="17"/>
      <c r="T1799" s="17"/>
      <c r="U1799" s="17"/>
      <c r="V1799" s="17"/>
      <c r="W1799" s="17"/>
      <c r="X1799" s="17"/>
      <c r="Y1799" s="53">
        <v>100</v>
      </c>
      <c r="Z1799" s="19">
        <v>100</v>
      </c>
      <c r="AA1799" s="22">
        <v>5535280800</v>
      </c>
      <c r="AB1799" s="19">
        <f t="shared" si="563"/>
        <v>77.609833725685945</v>
      </c>
      <c r="AC1799" s="20">
        <f t="shared" si="564"/>
        <v>5535280800</v>
      </c>
      <c r="AD1799" s="19">
        <f t="shared" si="565"/>
        <v>77.609833725685945</v>
      </c>
    </row>
    <row r="1800" spans="2:30">
      <c r="B1800" s="13">
        <f t="shared" si="566"/>
        <v>10</v>
      </c>
      <c r="C1800" s="74" t="s">
        <v>666</v>
      </c>
      <c r="D1800" s="74" t="s">
        <v>1840</v>
      </c>
      <c r="E1800" s="204"/>
      <c r="F1800" s="204"/>
      <c r="G1800" s="193"/>
      <c r="H1800" s="89"/>
      <c r="I1800" s="89"/>
      <c r="J1800" s="15">
        <v>2523029000</v>
      </c>
      <c r="K1800" s="99">
        <v>2523029000</v>
      </c>
      <c r="L1800" s="13"/>
      <c r="M1800" s="17"/>
      <c r="N1800" s="17"/>
      <c r="O1800" s="17"/>
      <c r="P1800" s="17"/>
      <c r="Q1800" s="17"/>
      <c r="R1800" s="17"/>
      <c r="S1800" s="17"/>
      <c r="T1800" s="17"/>
      <c r="U1800" s="17"/>
      <c r="V1800" s="17"/>
      <c r="W1800" s="17"/>
      <c r="X1800" s="17"/>
      <c r="Y1800" s="53">
        <v>100</v>
      </c>
      <c r="Z1800" s="19">
        <v>100</v>
      </c>
      <c r="AA1800" s="22">
        <v>836727600</v>
      </c>
      <c r="AB1800" s="19">
        <f t="shared" si="563"/>
        <v>33.16361405279131</v>
      </c>
      <c r="AC1800" s="20">
        <f t="shared" si="564"/>
        <v>836727600</v>
      </c>
      <c r="AD1800" s="19">
        <f t="shared" si="565"/>
        <v>33.16361405279131</v>
      </c>
    </row>
    <row r="1801" spans="2:30">
      <c r="B1801" s="13">
        <f t="shared" si="566"/>
        <v>11</v>
      </c>
      <c r="C1801" s="74" t="s">
        <v>602</v>
      </c>
      <c r="D1801" s="74" t="s">
        <v>1841</v>
      </c>
      <c r="E1801" s="204"/>
      <c r="F1801" s="204"/>
      <c r="G1801" s="193"/>
      <c r="H1801" s="89"/>
      <c r="I1801" s="89"/>
      <c r="J1801" s="15">
        <v>989834000</v>
      </c>
      <c r="K1801" s="99">
        <v>839834000</v>
      </c>
      <c r="L1801" s="13"/>
      <c r="M1801" s="17"/>
      <c r="N1801" s="17"/>
      <c r="O1801" s="17"/>
      <c r="P1801" s="17"/>
      <c r="Q1801" s="17"/>
      <c r="R1801" s="17"/>
      <c r="S1801" s="17"/>
      <c r="T1801" s="17"/>
      <c r="U1801" s="17"/>
      <c r="V1801" s="17"/>
      <c r="W1801" s="17"/>
      <c r="X1801" s="17"/>
      <c r="Y1801" s="53">
        <v>100</v>
      </c>
      <c r="Z1801" s="19">
        <v>100</v>
      </c>
      <c r="AA1801" s="22">
        <v>361075200</v>
      </c>
      <c r="AB1801" s="19">
        <f t="shared" si="563"/>
        <v>42.99363921917903</v>
      </c>
      <c r="AC1801" s="20">
        <f t="shared" si="564"/>
        <v>361075200</v>
      </c>
      <c r="AD1801" s="19">
        <f t="shared" si="565"/>
        <v>42.99363921917903</v>
      </c>
    </row>
    <row r="1802" spans="2:30" ht="27">
      <c r="B1802" s="13">
        <f t="shared" si="566"/>
        <v>12</v>
      </c>
      <c r="C1802" s="74" t="s">
        <v>604</v>
      </c>
      <c r="D1802" s="74" t="s">
        <v>1836</v>
      </c>
      <c r="E1802" s="204"/>
      <c r="F1802" s="204"/>
      <c r="G1802" s="193"/>
      <c r="H1802" s="89"/>
      <c r="I1802" s="89"/>
      <c r="J1802" s="15">
        <v>231480000</v>
      </c>
      <c r="K1802" s="99">
        <v>213680000</v>
      </c>
      <c r="L1802" s="13"/>
      <c r="M1802" s="17"/>
      <c r="N1802" s="17"/>
      <c r="O1802" s="17"/>
      <c r="P1802" s="17"/>
      <c r="Q1802" s="17"/>
      <c r="R1802" s="17"/>
      <c r="S1802" s="17"/>
      <c r="T1802" s="17"/>
      <c r="U1802" s="17"/>
      <c r="V1802" s="17"/>
      <c r="W1802" s="17"/>
      <c r="X1802" s="17"/>
      <c r="Y1802" s="53">
        <v>100</v>
      </c>
      <c r="Z1802" s="19">
        <v>100</v>
      </c>
      <c r="AA1802" s="22">
        <v>105435000</v>
      </c>
      <c r="AB1802" s="19">
        <f t="shared" si="563"/>
        <v>49.342474728566081</v>
      </c>
      <c r="AC1802" s="20">
        <f t="shared" si="564"/>
        <v>105435000</v>
      </c>
      <c r="AD1802" s="19">
        <f t="shared" si="565"/>
        <v>49.342474728566081</v>
      </c>
    </row>
    <row r="1803" spans="2:30" ht="27">
      <c r="B1803" s="45">
        <f t="shared" si="566"/>
        <v>13</v>
      </c>
      <c r="C1803" s="93" t="s">
        <v>578</v>
      </c>
      <c r="D1803" s="93" t="s">
        <v>1842</v>
      </c>
      <c r="E1803" s="489"/>
      <c r="F1803" s="489"/>
      <c r="G1803" s="240"/>
      <c r="H1803" s="186"/>
      <c r="I1803" s="186"/>
      <c r="J1803" s="15">
        <v>114098000</v>
      </c>
      <c r="K1803" s="99">
        <v>107588000</v>
      </c>
      <c r="L1803" s="45"/>
      <c r="M1803" s="44"/>
      <c r="N1803" s="44"/>
      <c r="O1803" s="44"/>
      <c r="P1803" s="44"/>
      <c r="Q1803" s="44"/>
      <c r="R1803" s="44"/>
      <c r="S1803" s="44"/>
      <c r="T1803" s="44"/>
      <c r="U1803" s="44"/>
      <c r="V1803" s="44"/>
      <c r="W1803" s="44"/>
      <c r="X1803" s="44"/>
      <c r="Y1803" s="53">
        <v>100</v>
      </c>
      <c r="Z1803" s="19">
        <v>100</v>
      </c>
      <c r="AA1803" s="73">
        <v>24750000</v>
      </c>
      <c r="AB1803" s="19">
        <f t="shared" si="563"/>
        <v>23.004424285236272</v>
      </c>
      <c r="AC1803" s="100">
        <f t="shared" si="564"/>
        <v>24750000</v>
      </c>
      <c r="AD1803" s="19">
        <f t="shared" si="565"/>
        <v>23.004424285236272</v>
      </c>
    </row>
    <row r="1804" spans="2:30">
      <c r="B1804" s="37">
        <v>132</v>
      </c>
      <c r="C1804" s="855" t="s">
        <v>1843</v>
      </c>
      <c r="D1804" s="855"/>
      <c r="E1804" s="483"/>
      <c r="F1804" s="483">
        <v>13</v>
      </c>
      <c r="G1804" s="468"/>
      <c r="H1804" s="483"/>
      <c r="I1804" s="468"/>
      <c r="J1804" s="208">
        <f>SUM(J1790:J1803)</f>
        <v>15352018000</v>
      </c>
      <c r="K1804" s="208">
        <f>SUM(K1790:K1803)</f>
        <v>16868943000</v>
      </c>
      <c r="L1804" s="295"/>
      <c r="M1804" s="28"/>
      <c r="N1804" s="28"/>
      <c r="O1804" s="28"/>
      <c r="P1804" s="28"/>
      <c r="Q1804" s="28"/>
      <c r="R1804" s="28"/>
      <c r="S1804" s="28"/>
      <c r="T1804" s="28"/>
      <c r="U1804" s="28"/>
      <c r="V1804" s="28"/>
      <c r="W1804" s="28"/>
      <c r="X1804" s="28"/>
      <c r="Y1804" s="449">
        <f>SUM(Y1790:Y1803)/13</f>
        <v>100</v>
      </c>
      <c r="Z1804" s="449">
        <f>SUM(Z1790:Z1803)/13</f>
        <v>100</v>
      </c>
      <c r="AA1804" s="67">
        <f>SUM(AA1790:AA1803)</f>
        <v>10657730599</v>
      </c>
      <c r="AB1804" s="449">
        <f>SUM(AB1790:AB1803)/13</f>
        <v>43.57025526927471</v>
      </c>
      <c r="AC1804" s="67">
        <f>SUM(AC1790:AC1803)</f>
        <v>10657730599</v>
      </c>
      <c r="AD1804" s="449">
        <f>SUM(AD1790:AD1803)/13</f>
        <v>43.57025526927471</v>
      </c>
    </row>
    <row r="1805" spans="2:30" ht="27">
      <c r="B1805" s="66"/>
      <c r="C1805" s="63" t="s">
        <v>1064</v>
      </c>
      <c r="D1805" s="64" t="s">
        <v>1065</v>
      </c>
      <c r="E1805" s="484"/>
      <c r="F1805" s="484"/>
      <c r="G1805" s="472"/>
      <c r="H1805" s="484"/>
      <c r="I1805" s="472"/>
      <c r="J1805" s="65"/>
      <c r="K1805" s="65"/>
      <c r="L1805" s="66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  <c r="W1805" s="63"/>
      <c r="X1805" s="63"/>
      <c r="Y1805" s="63"/>
      <c r="Z1805" s="63"/>
      <c r="AA1805" s="63"/>
      <c r="AB1805" s="63"/>
      <c r="AC1805" s="63"/>
      <c r="AD1805" s="63"/>
    </row>
    <row r="1806" spans="2:30" ht="27">
      <c r="B1806" s="13"/>
      <c r="C1806" s="86" t="s">
        <v>942</v>
      </c>
      <c r="D1806" s="86" t="s">
        <v>26</v>
      </c>
      <c r="E1806" s="485"/>
      <c r="F1806" s="485"/>
      <c r="G1806" s="441"/>
      <c r="H1806" s="87"/>
      <c r="I1806" s="87"/>
      <c r="J1806" s="130"/>
      <c r="K1806" s="16"/>
      <c r="L1806" s="13"/>
      <c r="M1806" s="17"/>
      <c r="N1806" s="17"/>
      <c r="O1806" s="17"/>
      <c r="P1806" s="17"/>
      <c r="Q1806" s="17"/>
      <c r="R1806" s="17"/>
      <c r="S1806" s="17"/>
      <c r="T1806" s="17"/>
      <c r="U1806" s="17"/>
      <c r="V1806" s="17"/>
      <c r="W1806" s="17"/>
      <c r="X1806" s="17"/>
      <c r="Y1806" s="17"/>
      <c r="Z1806" s="17"/>
      <c r="AA1806" s="17"/>
      <c r="AB1806" s="17"/>
      <c r="AC1806" s="17"/>
      <c r="AD1806" s="17"/>
    </row>
    <row r="1807" spans="2:30">
      <c r="B1807" s="13">
        <v>1</v>
      </c>
      <c r="C1807" s="74" t="s">
        <v>203</v>
      </c>
      <c r="D1807" s="74" t="s">
        <v>28</v>
      </c>
      <c r="E1807" s="204"/>
      <c r="F1807" s="204"/>
      <c r="G1807" s="193"/>
      <c r="H1807" s="89"/>
      <c r="I1807" s="89"/>
      <c r="J1807" s="15">
        <v>1701683000</v>
      </c>
      <c r="K1807" s="25">
        <v>2226691000</v>
      </c>
      <c r="L1807" s="13"/>
      <c r="M1807" s="17"/>
      <c r="N1807" s="17"/>
      <c r="O1807" s="17"/>
      <c r="P1807" s="17"/>
      <c r="Q1807" s="17"/>
      <c r="R1807" s="17"/>
      <c r="S1807" s="17"/>
      <c r="T1807" s="17"/>
      <c r="U1807" s="17"/>
      <c r="V1807" s="17"/>
      <c r="W1807" s="17"/>
      <c r="X1807" s="17"/>
      <c r="Y1807" s="17">
        <v>100</v>
      </c>
      <c r="Z1807" s="17">
        <v>100</v>
      </c>
      <c r="AA1807" s="22">
        <v>1106103378</v>
      </c>
      <c r="AB1807" s="98">
        <f>AA1807/K1807*100</f>
        <v>49.674758554285262</v>
      </c>
      <c r="AC1807" s="20">
        <f>AA1807</f>
        <v>1106103378</v>
      </c>
      <c r="AD1807" s="98">
        <f>AC1807/K1807*100</f>
        <v>49.674758554285262</v>
      </c>
    </row>
    <row r="1808" spans="2:30">
      <c r="B1808" s="13">
        <f>B1807+1</f>
        <v>2</v>
      </c>
      <c r="C1808" s="74" t="s">
        <v>210</v>
      </c>
      <c r="D1808" s="74" t="s">
        <v>30</v>
      </c>
      <c r="E1808" s="204"/>
      <c r="F1808" s="204"/>
      <c r="G1808" s="193"/>
      <c r="H1808" s="89"/>
      <c r="I1808" s="89"/>
      <c r="J1808" s="15">
        <v>97030000</v>
      </c>
      <c r="K1808" s="25">
        <v>120000000</v>
      </c>
      <c r="L1808" s="13"/>
      <c r="M1808" s="17"/>
      <c r="N1808" s="17"/>
      <c r="O1808" s="17"/>
      <c r="P1808" s="17"/>
      <c r="Q1808" s="17"/>
      <c r="R1808" s="17"/>
      <c r="S1808" s="17"/>
      <c r="T1808" s="17"/>
      <c r="U1808" s="17"/>
      <c r="V1808" s="17"/>
      <c r="W1808" s="17"/>
      <c r="X1808" s="17"/>
      <c r="Y1808" s="17">
        <v>100</v>
      </c>
      <c r="Z1808" s="17">
        <v>100</v>
      </c>
      <c r="AA1808" s="22">
        <v>90222600</v>
      </c>
      <c r="AB1808" s="98">
        <f t="shared" ref="AB1808:AB1829" si="567">AA1808/K1808*100</f>
        <v>75.185500000000005</v>
      </c>
      <c r="AC1808" s="20">
        <f t="shared" ref="AC1808:AC1829" si="568">AA1808</f>
        <v>90222600</v>
      </c>
      <c r="AD1808" s="98">
        <f t="shared" ref="AD1808:AD1829" si="569">AC1808/K1808*100</f>
        <v>75.185500000000005</v>
      </c>
    </row>
    <row r="1809" spans="2:30">
      <c r="B1809" s="13">
        <f t="shared" ref="B1809:B1824" si="570">B1808+1</f>
        <v>3</v>
      </c>
      <c r="C1809" s="74" t="s">
        <v>204</v>
      </c>
      <c r="D1809" s="74" t="s">
        <v>32</v>
      </c>
      <c r="E1809" s="204"/>
      <c r="F1809" s="204"/>
      <c r="G1809" s="193"/>
      <c r="H1809" s="89"/>
      <c r="I1809" s="89"/>
      <c r="J1809" s="15">
        <v>718434000</v>
      </c>
      <c r="K1809" s="25">
        <v>761084000</v>
      </c>
      <c r="L1809" s="13"/>
      <c r="M1809" s="17"/>
      <c r="N1809" s="17"/>
      <c r="O1809" s="17"/>
      <c r="P1809" s="17"/>
      <c r="Q1809" s="17"/>
      <c r="R1809" s="17"/>
      <c r="S1809" s="17"/>
      <c r="T1809" s="17"/>
      <c r="U1809" s="17"/>
      <c r="V1809" s="17"/>
      <c r="W1809" s="17"/>
      <c r="X1809" s="17"/>
      <c r="Y1809" s="17">
        <v>100</v>
      </c>
      <c r="Z1809" s="17">
        <v>100</v>
      </c>
      <c r="AA1809" s="22">
        <v>522534535</v>
      </c>
      <c r="AB1809" s="98">
        <f t="shared" si="567"/>
        <v>68.656618060555729</v>
      </c>
      <c r="AC1809" s="20">
        <f>AA1809</f>
        <v>522534535</v>
      </c>
      <c r="AD1809" s="98">
        <f t="shared" si="569"/>
        <v>68.656618060555729</v>
      </c>
    </row>
    <row r="1810" spans="2:30">
      <c r="B1810" s="13">
        <f t="shared" si="570"/>
        <v>4</v>
      </c>
      <c r="C1810" s="74" t="s">
        <v>205</v>
      </c>
      <c r="D1810" s="74" t="s">
        <v>34</v>
      </c>
      <c r="E1810" s="204"/>
      <c r="F1810" s="204"/>
      <c r="G1810" s="193"/>
      <c r="H1810" s="89"/>
      <c r="I1810" s="89"/>
      <c r="J1810" s="15">
        <v>407889000</v>
      </c>
      <c r="K1810" s="25">
        <v>545850000</v>
      </c>
      <c r="L1810" s="13"/>
      <c r="M1810" s="17"/>
      <c r="N1810" s="17"/>
      <c r="O1810" s="17"/>
      <c r="P1810" s="17"/>
      <c r="Q1810" s="17"/>
      <c r="R1810" s="17"/>
      <c r="S1810" s="17"/>
      <c r="T1810" s="17"/>
      <c r="U1810" s="17"/>
      <c r="V1810" s="17"/>
      <c r="W1810" s="17"/>
      <c r="X1810" s="17"/>
      <c r="Y1810" s="17">
        <v>100</v>
      </c>
      <c r="Z1810" s="17">
        <v>100</v>
      </c>
      <c r="AA1810" s="22">
        <v>489040000</v>
      </c>
      <c r="AB1810" s="98">
        <f t="shared" si="567"/>
        <v>89.592378858660808</v>
      </c>
      <c r="AC1810" s="20">
        <f>AA1810</f>
        <v>489040000</v>
      </c>
      <c r="AD1810" s="98">
        <f t="shared" si="569"/>
        <v>89.592378858660808</v>
      </c>
    </row>
    <row r="1811" spans="2:30">
      <c r="B1811" s="13">
        <f t="shared" si="570"/>
        <v>5</v>
      </c>
      <c r="C1811" s="74" t="s">
        <v>215</v>
      </c>
      <c r="D1811" s="74" t="s">
        <v>36</v>
      </c>
      <c r="E1811" s="204"/>
      <c r="F1811" s="204"/>
      <c r="G1811" s="193"/>
      <c r="H1811" s="89"/>
      <c r="I1811" s="89"/>
      <c r="J1811" s="15">
        <v>20000000</v>
      </c>
      <c r="K1811" s="25">
        <v>35000000</v>
      </c>
      <c r="L1811" s="13"/>
      <c r="M1811" s="17"/>
      <c r="N1811" s="17"/>
      <c r="O1811" s="17"/>
      <c r="P1811" s="17"/>
      <c r="Q1811" s="17"/>
      <c r="R1811" s="17"/>
      <c r="S1811" s="17"/>
      <c r="T1811" s="17"/>
      <c r="U1811" s="17"/>
      <c r="V1811" s="17"/>
      <c r="W1811" s="17"/>
      <c r="X1811" s="17"/>
      <c r="Y1811" s="17">
        <v>100</v>
      </c>
      <c r="Z1811" s="17">
        <v>100</v>
      </c>
      <c r="AA1811" s="22">
        <v>18257500</v>
      </c>
      <c r="AB1811" s="98">
        <f t="shared" si="567"/>
        <v>52.164285714285718</v>
      </c>
      <c r="AC1811" s="20">
        <f t="shared" si="568"/>
        <v>18257500</v>
      </c>
      <c r="AD1811" s="98">
        <f t="shared" si="569"/>
        <v>52.164285714285718</v>
      </c>
    </row>
    <row r="1812" spans="2:30" ht="27">
      <c r="B1812" s="13">
        <f t="shared" si="570"/>
        <v>6</v>
      </c>
      <c r="C1812" s="74" t="s">
        <v>216</v>
      </c>
      <c r="D1812" s="74" t="s">
        <v>360</v>
      </c>
      <c r="E1812" s="204"/>
      <c r="F1812" s="204"/>
      <c r="G1812" s="193"/>
      <c r="H1812" s="89"/>
      <c r="I1812" s="89"/>
      <c r="J1812" s="15">
        <v>24666000</v>
      </c>
      <c r="K1812" s="25">
        <v>24666000</v>
      </c>
      <c r="L1812" s="13"/>
      <c r="M1812" s="17"/>
      <c r="N1812" s="17"/>
      <c r="O1812" s="17"/>
      <c r="P1812" s="17"/>
      <c r="Q1812" s="17"/>
      <c r="R1812" s="17"/>
      <c r="S1812" s="17"/>
      <c r="T1812" s="17"/>
      <c r="U1812" s="17"/>
      <c r="V1812" s="17"/>
      <c r="W1812" s="17"/>
      <c r="X1812" s="17"/>
      <c r="Y1812" s="17">
        <v>100</v>
      </c>
      <c r="Z1812" s="17">
        <v>80</v>
      </c>
      <c r="AA1812" s="22">
        <v>16170000</v>
      </c>
      <c r="AB1812" s="98">
        <f t="shared" si="567"/>
        <v>65.555825833130626</v>
      </c>
      <c r="AC1812" s="20">
        <f t="shared" si="568"/>
        <v>16170000</v>
      </c>
      <c r="AD1812" s="98">
        <f t="shared" si="569"/>
        <v>65.555825833130626</v>
      </c>
    </row>
    <row r="1813" spans="2:30" ht="27">
      <c r="B1813" s="13"/>
      <c r="C1813" s="86" t="s">
        <v>1066</v>
      </c>
      <c r="D1813" s="86" t="s">
        <v>1067</v>
      </c>
      <c r="E1813" s="485"/>
      <c r="F1813" s="485"/>
      <c r="G1813" s="441"/>
      <c r="H1813" s="87"/>
      <c r="I1813" s="87"/>
      <c r="J1813" s="130"/>
      <c r="K1813" s="25"/>
      <c r="L1813" s="13"/>
      <c r="M1813" s="17"/>
      <c r="N1813" s="17"/>
      <c r="O1813" s="17"/>
      <c r="P1813" s="17"/>
      <c r="Q1813" s="17"/>
      <c r="R1813" s="17"/>
      <c r="S1813" s="17"/>
      <c r="T1813" s="17"/>
      <c r="U1813" s="17"/>
      <c r="V1813" s="17"/>
      <c r="W1813" s="17"/>
      <c r="X1813" s="17"/>
      <c r="Y1813" s="17"/>
      <c r="Z1813" s="17"/>
      <c r="AA1813" s="22"/>
      <c r="AB1813" s="98"/>
      <c r="AC1813" s="20">
        <f t="shared" si="568"/>
        <v>0</v>
      </c>
      <c r="AD1813" s="98"/>
    </row>
    <row r="1814" spans="2:30">
      <c r="B1814" s="13">
        <f>B1812+1</f>
        <v>7</v>
      </c>
      <c r="C1814" s="74" t="s">
        <v>251</v>
      </c>
      <c r="D1814" s="74" t="s">
        <v>1068</v>
      </c>
      <c r="E1814" s="204"/>
      <c r="F1814" s="204"/>
      <c r="G1814" s="193"/>
      <c r="H1814" s="89"/>
      <c r="I1814" s="89"/>
      <c r="J1814" s="15">
        <v>307260000</v>
      </c>
      <c r="K1814" s="25">
        <v>290786000</v>
      </c>
      <c r="L1814" s="13"/>
      <c r="M1814" s="17"/>
      <c r="N1814" s="17"/>
      <c r="O1814" s="17"/>
      <c r="P1814" s="17"/>
      <c r="Q1814" s="17"/>
      <c r="R1814" s="17"/>
      <c r="S1814" s="17"/>
      <c r="T1814" s="17"/>
      <c r="U1814" s="17"/>
      <c r="V1814" s="17"/>
      <c r="W1814" s="17"/>
      <c r="X1814" s="17"/>
      <c r="Y1814" s="17">
        <v>100</v>
      </c>
      <c r="Z1814" s="17">
        <v>100</v>
      </c>
      <c r="AA1814" s="22">
        <v>202370550</v>
      </c>
      <c r="AB1814" s="98">
        <f t="shared" si="567"/>
        <v>69.594323660698933</v>
      </c>
      <c r="AC1814" s="20">
        <f t="shared" si="568"/>
        <v>202370550</v>
      </c>
      <c r="AD1814" s="98">
        <f t="shared" si="569"/>
        <v>69.594323660698933</v>
      </c>
    </row>
    <row r="1815" spans="2:30">
      <c r="B1815" s="13">
        <f t="shared" si="570"/>
        <v>8</v>
      </c>
      <c r="C1815" s="74" t="s">
        <v>253</v>
      </c>
      <c r="D1815" s="74" t="s">
        <v>1069</v>
      </c>
      <c r="E1815" s="204"/>
      <c r="F1815" s="204"/>
      <c r="G1815" s="193"/>
      <c r="H1815" s="89"/>
      <c r="I1815" s="89"/>
      <c r="J1815" s="15">
        <v>298160000</v>
      </c>
      <c r="K1815" s="25">
        <v>274819000</v>
      </c>
      <c r="L1815" s="13"/>
      <c r="M1815" s="17"/>
      <c r="N1815" s="17"/>
      <c r="O1815" s="17"/>
      <c r="P1815" s="17"/>
      <c r="Q1815" s="17"/>
      <c r="R1815" s="17"/>
      <c r="S1815" s="17"/>
      <c r="T1815" s="17"/>
      <c r="U1815" s="17"/>
      <c r="V1815" s="17"/>
      <c r="W1815" s="17"/>
      <c r="X1815" s="17"/>
      <c r="Y1815" s="17">
        <v>100</v>
      </c>
      <c r="Z1815" s="17">
        <v>100</v>
      </c>
      <c r="AA1815" s="22">
        <v>202397600</v>
      </c>
      <c r="AB1815" s="98">
        <f t="shared" si="567"/>
        <v>73.647600784516356</v>
      </c>
      <c r="AC1815" s="20">
        <f t="shared" si="568"/>
        <v>202397600</v>
      </c>
      <c r="AD1815" s="98">
        <f t="shared" si="569"/>
        <v>73.647600784516356</v>
      </c>
    </row>
    <row r="1816" spans="2:30" ht="27">
      <c r="B1816" s="13">
        <f t="shared" si="570"/>
        <v>9</v>
      </c>
      <c r="C1816" s="74" t="s">
        <v>524</v>
      </c>
      <c r="D1816" s="74" t="s">
        <v>1070</v>
      </c>
      <c r="E1816" s="204"/>
      <c r="F1816" s="204"/>
      <c r="G1816" s="193"/>
      <c r="H1816" s="89"/>
      <c r="I1816" s="89"/>
      <c r="J1816" s="15">
        <v>78446000</v>
      </c>
      <c r="K1816" s="25">
        <v>78387000</v>
      </c>
      <c r="L1816" s="13"/>
      <c r="M1816" s="17"/>
      <c r="N1816" s="17"/>
      <c r="O1816" s="17"/>
      <c r="P1816" s="17"/>
      <c r="Q1816" s="17"/>
      <c r="R1816" s="17"/>
      <c r="S1816" s="17"/>
      <c r="T1816" s="17"/>
      <c r="U1816" s="17"/>
      <c r="V1816" s="17"/>
      <c r="W1816" s="17"/>
      <c r="X1816" s="17"/>
      <c r="Y1816" s="17">
        <v>100</v>
      </c>
      <c r="Z1816" s="17">
        <v>100</v>
      </c>
      <c r="AA1816" s="22">
        <v>47369000</v>
      </c>
      <c r="AB1816" s="98">
        <f t="shared" si="567"/>
        <v>60.429663081888577</v>
      </c>
      <c r="AC1816" s="20">
        <f t="shared" si="568"/>
        <v>47369000</v>
      </c>
      <c r="AD1816" s="98">
        <f t="shared" si="569"/>
        <v>60.429663081888577</v>
      </c>
    </row>
    <row r="1817" spans="2:30">
      <c r="B1817" s="13">
        <f t="shared" si="570"/>
        <v>10</v>
      </c>
      <c r="C1817" s="74" t="s">
        <v>255</v>
      </c>
      <c r="D1817" s="74" t="s">
        <v>1071</v>
      </c>
      <c r="E1817" s="204"/>
      <c r="F1817" s="204"/>
      <c r="G1817" s="193"/>
      <c r="H1817" s="89"/>
      <c r="I1817" s="89"/>
      <c r="J1817" s="15">
        <v>311759000</v>
      </c>
      <c r="K1817" s="25">
        <v>311759000</v>
      </c>
      <c r="L1817" s="13"/>
      <c r="M1817" s="17"/>
      <c r="N1817" s="17"/>
      <c r="O1817" s="17"/>
      <c r="P1817" s="17"/>
      <c r="Q1817" s="17"/>
      <c r="R1817" s="17"/>
      <c r="S1817" s="17"/>
      <c r="T1817" s="17"/>
      <c r="U1817" s="17"/>
      <c r="V1817" s="17"/>
      <c r="W1817" s="17"/>
      <c r="X1817" s="17"/>
      <c r="Y1817" s="17">
        <v>100</v>
      </c>
      <c r="Z1817" s="17">
        <v>100</v>
      </c>
      <c r="AA1817" s="22">
        <v>213301700</v>
      </c>
      <c r="AB1817" s="98">
        <f t="shared" si="567"/>
        <v>68.418778607834895</v>
      </c>
      <c r="AC1817" s="20">
        <f t="shared" si="568"/>
        <v>213301700</v>
      </c>
      <c r="AD1817" s="98">
        <f t="shared" si="569"/>
        <v>68.418778607834895</v>
      </c>
    </row>
    <row r="1818" spans="2:30">
      <c r="B1818" s="13">
        <f t="shared" si="570"/>
        <v>11</v>
      </c>
      <c r="C1818" s="74" t="s">
        <v>257</v>
      </c>
      <c r="D1818" s="74" t="s">
        <v>1072</v>
      </c>
      <c r="E1818" s="204"/>
      <c r="F1818" s="204"/>
      <c r="G1818" s="193"/>
      <c r="H1818" s="89"/>
      <c r="I1818" s="89"/>
      <c r="J1818" s="15">
        <v>35326000</v>
      </c>
      <c r="K1818" s="25">
        <v>35326000</v>
      </c>
      <c r="L1818" s="13"/>
      <c r="M1818" s="17"/>
      <c r="N1818" s="17"/>
      <c r="O1818" s="17"/>
      <c r="P1818" s="17"/>
      <c r="Q1818" s="17"/>
      <c r="R1818" s="17"/>
      <c r="S1818" s="17"/>
      <c r="T1818" s="17"/>
      <c r="U1818" s="17"/>
      <c r="V1818" s="17"/>
      <c r="W1818" s="17"/>
      <c r="X1818" s="17"/>
      <c r="Y1818" s="17">
        <v>100</v>
      </c>
      <c r="Z1818" s="17">
        <v>100</v>
      </c>
      <c r="AA1818" s="22">
        <v>31704300</v>
      </c>
      <c r="AB1818" s="98">
        <f t="shared" si="567"/>
        <v>89.747777840683924</v>
      </c>
      <c r="AC1818" s="20">
        <f t="shared" si="568"/>
        <v>31704300</v>
      </c>
      <c r="AD1818" s="98">
        <f t="shared" si="569"/>
        <v>89.747777840683924</v>
      </c>
    </row>
    <row r="1819" spans="2:30">
      <c r="B1819" s="13">
        <f t="shared" si="570"/>
        <v>12</v>
      </c>
      <c r="C1819" s="74" t="s">
        <v>259</v>
      </c>
      <c r="D1819" s="74" t="s">
        <v>1073</v>
      </c>
      <c r="E1819" s="204"/>
      <c r="F1819" s="204"/>
      <c r="G1819" s="193"/>
      <c r="H1819" s="89"/>
      <c r="I1819" s="89"/>
      <c r="J1819" s="15">
        <v>144678000</v>
      </c>
      <c r="K1819" s="25">
        <v>142633000</v>
      </c>
      <c r="L1819" s="13"/>
      <c r="M1819" s="17"/>
      <c r="N1819" s="17"/>
      <c r="O1819" s="17"/>
      <c r="P1819" s="17"/>
      <c r="Q1819" s="17"/>
      <c r="R1819" s="17"/>
      <c r="S1819" s="17"/>
      <c r="T1819" s="17"/>
      <c r="U1819" s="17"/>
      <c r="V1819" s="17"/>
      <c r="W1819" s="17"/>
      <c r="X1819" s="17"/>
      <c r="Y1819" s="17">
        <v>100</v>
      </c>
      <c r="Z1819" s="17">
        <v>100</v>
      </c>
      <c r="AA1819" s="22">
        <v>80837700</v>
      </c>
      <c r="AB1819" s="98">
        <f t="shared" si="567"/>
        <v>56.67531356698661</v>
      </c>
      <c r="AC1819" s="20">
        <f t="shared" ref="AC1819:AC1824" si="571">AA1819</f>
        <v>80837700</v>
      </c>
      <c r="AD1819" s="98">
        <f t="shared" si="569"/>
        <v>56.67531356698661</v>
      </c>
    </row>
    <row r="1820" spans="2:30">
      <c r="B1820" s="13">
        <f t="shared" si="570"/>
        <v>13</v>
      </c>
      <c r="C1820" s="74" t="s">
        <v>261</v>
      </c>
      <c r="D1820" s="74" t="s">
        <v>1074</v>
      </c>
      <c r="E1820" s="204"/>
      <c r="F1820" s="204"/>
      <c r="G1820" s="193"/>
      <c r="H1820" s="89"/>
      <c r="I1820" s="89"/>
      <c r="J1820" s="15">
        <v>224620000</v>
      </c>
      <c r="K1820" s="25">
        <v>202140000</v>
      </c>
      <c r="L1820" s="13"/>
      <c r="M1820" s="17"/>
      <c r="N1820" s="17"/>
      <c r="O1820" s="17"/>
      <c r="P1820" s="17"/>
      <c r="Q1820" s="17"/>
      <c r="R1820" s="17"/>
      <c r="S1820" s="17"/>
      <c r="T1820" s="17"/>
      <c r="U1820" s="17"/>
      <c r="V1820" s="17"/>
      <c r="W1820" s="17"/>
      <c r="X1820" s="17"/>
      <c r="Y1820" s="17">
        <v>100</v>
      </c>
      <c r="Z1820" s="17">
        <v>100</v>
      </c>
      <c r="AA1820" s="22">
        <v>183376750</v>
      </c>
      <c r="AB1820" s="98">
        <f t="shared" si="567"/>
        <v>90.717695656475712</v>
      </c>
      <c r="AC1820" s="20">
        <f t="shared" si="571"/>
        <v>183376750</v>
      </c>
      <c r="AD1820" s="98">
        <f t="shared" si="569"/>
        <v>90.717695656475712</v>
      </c>
    </row>
    <row r="1821" spans="2:30">
      <c r="B1821" s="13">
        <f t="shared" si="570"/>
        <v>14</v>
      </c>
      <c r="C1821" s="74" t="s">
        <v>263</v>
      </c>
      <c r="D1821" s="74" t="s">
        <v>1075</v>
      </c>
      <c r="E1821" s="204"/>
      <c r="F1821" s="204"/>
      <c r="G1821" s="193"/>
      <c r="H1821" s="89"/>
      <c r="I1821" s="89"/>
      <c r="J1821" s="15">
        <v>331288000</v>
      </c>
      <c r="K1821" s="25">
        <v>633859000</v>
      </c>
      <c r="L1821" s="13"/>
      <c r="M1821" s="17"/>
      <c r="N1821" s="17"/>
      <c r="O1821" s="17"/>
      <c r="P1821" s="17"/>
      <c r="Q1821" s="17"/>
      <c r="R1821" s="17"/>
      <c r="S1821" s="17"/>
      <c r="T1821" s="17"/>
      <c r="U1821" s="17"/>
      <c r="V1821" s="17"/>
      <c r="W1821" s="17"/>
      <c r="X1821" s="17"/>
      <c r="Y1821" s="17">
        <v>100</v>
      </c>
      <c r="Z1821" s="17">
        <v>100</v>
      </c>
      <c r="AA1821" s="22">
        <v>341897350</v>
      </c>
      <c r="AB1821" s="98">
        <f t="shared" si="567"/>
        <v>53.939022716408537</v>
      </c>
      <c r="AC1821" s="20">
        <f t="shared" si="571"/>
        <v>341897350</v>
      </c>
      <c r="AD1821" s="98">
        <f t="shared" si="569"/>
        <v>53.939022716408537</v>
      </c>
    </row>
    <row r="1822" spans="2:30">
      <c r="B1822" s="13">
        <f>B1821+1</f>
        <v>15</v>
      </c>
      <c r="C1822" s="74" t="s">
        <v>1076</v>
      </c>
      <c r="D1822" s="74" t="s">
        <v>1077</v>
      </c>
      <c r="E1822" s="204"/>
      <c r="F1822" s="204"/>
      <c r="G1822" s="193"/>
      <c r="H1822" s="89"/>
      <c r="I1822" s="89"/>
      <c r="J1822" s="15">
        <v>105000000</v>
      </c>
      <c r="K1822" s="25">
        <v>105000000</v>
      </c>
      <c r="L1822" s="13"/>
      <c r="M1822" s="17"/>
      <c r="N1822" s="17"/>
      <c r="O1822" s="17"/>
      <c r="P1822" s="17"/>
      <c r="Q1822" s="17"/>
      <c r="R1822" s="17"/>
      <c r="S1822" s="17"/>
      <c r="T1822" s="17"/>
      <c r="U1822" s="17"/>
      <c r="V1822" s="17"/>
      <c r="W1822" s="17"/>
      <c r="X1822" s="17"/>
      <c r="Y1822" s="17">
        <v>100</v>
      </c>
      <c r="Z1822" s="17">
        <v>100</v>
      </c>
      <c r="AA1822" s="22">
        <v>79995000</v>
      </c>
      <c r="AB1822" s="98">
        <f t="shared" si="567"/>
        <v>76.185714285714283</v>
      </c>
      <c r="AC1822" s="20">
        <f t="shared" si="571"/>
        <v>79995000</v>
      </c>
      <c r="AD1822" s="98">
        <f t="shared" si="569"/>
        <v>76.185714285714283</v>
      </c>
    </row>
    <row r="1823" spans="2:30">
      <c r="B1823" s="13">
        <f t="shared" si="570"/>
        <v>16</v>
      </c>
      <c r="C1823" s="74" t="s">
        <v>1078</v>
      </c>
      <c r="D1823" s="74" t="s">
        <v>1079</v>
      </c>
      <c r="E1823" s="204"/>
      <c r="F1823" s="204"/>
      <c r="G1823" s="193"/>
      <c r="H1823" s="89"/>
      <c r="I1823" s="89"/>
      <c r="J1823" s="15">
        <v>703672000</v>
      </c>
      <c r="K1823" s="25">
        <v>843760000</v>
      </c>
      <c r="L1823" s="13"/>
      <c r="M1823" s="17"/>
      <c r="N1823" s="17"/>
      <c r="O1823" s="17"/>
      <c r="P1823" s="17"/>
      <c r="Q1823" s="17"/>
      <c r="R1823" s="17"/>
      <c r="S1823" s="17"/>
      <c r="T1823" s="17"/>
      <c r="U1823" s="17"/>
      <c r="V1823" s="17"/>
      <c r="W1823" s="17"/>
      <c r="X1823" s="17"/>
      <c r="Y1823" s="17">
        <v>100</v>
      </c>
      <c r="Z1823" s="17">
        <v>100</v>
      </c>
      <c r="AA1823" s="22">
        <v>771357171</v>
      </c>
      <c r="AB1823" s="98">
        <f t="shared" si="567"/>
        <v>91.41902567080686</v>
      </c>
      <c r="AC1823" s="20">
        <f t="shared" si="571"/>
        <v>771357171</v>
      </c>
      <c r="AD1823" s="98">
        <f t="shared" si="569"/>
        <v>91.41902567080686</v>
      </c>
    </row>
    <row r="1824" spans="2:30">
      <c r="B1824" s="13">
        <f t="shared" si="570"/>
        <v>17</v>
      </c>
      <c r="C1824" s="174">
        <v>18.015999999999998</v>
      </c>
      <c r="D1824" s="21" t="s">
        <v>1080</v>
      </c>
      <c r="E1824" s="204"/>
      <c r="F1824" s="204"/>
      <c r="G1824" s="193"/>
      <c r="H1824" s="89"/>
      <c r="I1824" s="89"/>
      <c r="J1824" s="15">
        <v>200000000</v>
      </c>
      <c r="K1824" s="25">
        <v>197837000</v>
      </c>
      <c r="L1824" s="13"/>
      <c r="M1824" s="17"/>
      <c r="N1824" s="17"/>
      <c r="O1824" s="17"/>
      <c r="P1824" s="17"/>
      <c r="Q1824" s="17"/>
      <c r="R1824" s="17"/>
      <c r="S1824" s="17"/>
      <c r="T1824" s="17"/>
      <c r="U1824" s="17"/>
      <c r="V1824" s="17"/>
      <c r="W1824" s="17"/>
      <c r="X1824" s="17"/>
      <c r="Y1824" s="17">
        <v>100</v>
      </c>
      <c r="Z1824" s="17">
        <v>100</v>
      </c>
      <c r="AA1824" s="22">
        <v>124515000</v>
      </c>
      <c r="AB1824" s="98">
        <f t="shared" si="567"/>
        <v>62.938176377522915</v>
      </c>
      <c r="AC1824" s="20">
        <f t="shared" si="571"/>
        <v>124515000</v>
      </c>
      <c r="AD1824" s="98">
        <f t="shared" si="569"/>
        <v>62.938176377522915</v>
      </c>
    </row>
    <row r="1825" spans="2:30" ht="27">
      <c r="B1825" s="13"/>
      <c r="C1825" s="86" t="s">
        <v>828</v>
      </c>
      <c r="D1825" s="86" t="s">
        <v>829</v>
      </c>
      <c r="E1825" s="485"/>
      <c r="F1825" s="485"/>
      <c r="G1825" s="441"/>
      <c r="H1825" s="87"/>
      <c r="I1825" s="87"/>
      <c r="J1825" s="130"/>
      <c r="K1825" s="16"/>
      <c r="L1825" s="13"/>
      <c r="M1825" s="17"/>
      <c r="N1825" s="17"/>
      <c r="O1825" s="17"/>
      <c r="P1825" s="17"/>
      <c r="Q1825" s="17"/>
      <c r="R1825" s="17"/>
      <c r="S1825" s="17"/>
      <c r="T1825" s="17"/>
      <c r="U1825" s="17"/>
      <c r="V1825" s="17"/>
      <c r="W1825" s="17"/>
      <c r="X1825" s="17"/>
      <c r="Y1825" s="20"/>
      <c r="Z1825" s="20"/>
      <c r="AA1825" s="22"/>
      <c r="AB1825" s="98"/>
      <c r="AC1825" s="20">
        <f t="shared" si="568"/>
        <v>0</v>
      </c>
      <c r="AD1825" s="98"/>
    </row>
    <row r="1826" spans="2:30" ht="27">
      <c r="B1826" s="43">
        <f>B1824+1</f>
        <v>18</v>
      </c>
      <c r="C1826" s="74" t="s">
        <v>271</v>
      </c>
      <c r="D1826" s="74" t="s">
        <v>1081</v>
      </c>
      <c r="E1826" s="204"/>
      <c r="F1826" s="204"/>
      <c r="G1826" s="193"/>
      <c r="H1826" s="89"/>
      <c r="I1826" s="89"/>
      <c r="J1826" s="15">
        <v>291146000</v>
      </c>
      <c r="K1826" s="25">
        <v>297796000</v>
      </c>
      <c r="L1826" s="13"/>
      <c r="M1826" s="17"/>
      <c r="N1826" s="17"/>
      <c r="O1826" s="17"/>
      <c r="P1826" s="17"/>
      <c r="Q1826" s="17"/>
      <c r="R1826" s="17"/>
      <c r="S1826" s="17"/>
      <c r="T1826" s="17"/>
      <c r="U1826" s="17"/>
      <c r="V1826" s="17"/>
      <c r="W1826" s="17"/>
      <c r="X1826" s="17"/>
      <c r="Y1826" s="114">
        <v>100</v>
      </c>
      <c r="Z1826" s="114">
        <v>100</v>
      </c>
      <c r="AA1826" s="22">
        <v>182973150</v>
      </c>
      <c r="AB1826" s="98">
        <f t="shared" si="567"/>
        <v>61.442447178605484</v>
      </c>
      <c r="AC1826" s="20">
        <f t="shared" si="568"/>
        <v>182973150</v>
      </c>
      <c r="AD1826" s="98">
        <f t="shared" si="569"/>
        <v>61.442447178605484</v>
      </c>
    </row>
    <row r="1827" spans="2:30">
      <c r="B1827" s="43">
        <f>B1826+1</f>
        <v>19</v>
      </c>
      <c r="C1827" s="74" t="s">
        <v>273</v>
      </c>
      <c r="D1827" s="74" t="s">
        <v>1082</v>
      </c>
      <c r="E1827" s="204"/>
      <c r="F1827" s="204"/>
      <c r="G1827" s="193"/>
      <c r="H1827" s="89"/>
      <c r="I1827" s="89"/>
      <c r="J1827" s="15">
        <v>1002399000</v>
      </c>
      <c r="K1827" s="25">
        <v>1002399000</v>
      </c>
      <c r="L1827" s="13"/>
      <c r="M1827" s="17"/>
      <c r="N1827" s="17"/>
      <c r="O1827" s="17"/>
      <c r="P1827" s="17"/>
      <c r="Q1827" s="17"/>
      <c r="R1827" s="17"/>
      <c r="S1827" s="17"/>
      <c r="T1827" s="17"/>
      <c r="U1827" s="17"/>
      <c r="V1827" s="17"/>
      <c r="W1827" s="17"/>
      <c r="X1827" s="17"/>
      <c r="Y1827" s="114">
        <v>100</v>
      </c>
      <c r="Z1827" s="114">
        <v>100</v>
      </c>
      <c r="AA1827" s="22">
        <v>984128650</v>
      </c>
      <c r="AB1827" s="98">
        <f t="shared" si="567"/>
        <v>98.177337567176352</v>
      </c>
      <c r="AC1827" s="20">
        <f t="shared" si="568"/>
        <v>984128650</v>
      </c>
      <c r="AD1827" s="98">
        <f t="shared" si="569"/>
        <v>98.177337567176352</v>
      </c>
    </row>
    <row r="1828" spans="2:30">
      <c r="B1828" s="238">
        <f>B1827+1</f>
        <v>20</v>
      </c>
      <c r="C1828" s="93" t="s">
        <v>533</v>
      </c>
      <c r="D1828" s="93" t="s">
        <v>1083</v>
      </c>
      <c r="E1828" s="489"/>
      <c r="F1828" s="489"/>
      <c r="G1828" s="240"/>
      <c r="H1828" s="186"/>
      <c r="I1828" s="186"/>
      <c r="J1828" s="15">
        <v>1175428000</v>
      </c>
      <c r="K1828" s="25">
        <v>1175428000</v>
      </c>
      <c r="L1828" s="13"/>
      <c r="M1828" s="17"/>
      <c r="N1828" s="17"/>
      <c r="O1828" s="17"/>
      <c r="P1828" s="17"/>
      <c r="Q1828" s="17"/>
      <c r="R1828" s="17"/>
      <c r="S1828" s="17"/>
      <c r="T1828" s="17"/>
      <c r="U1828" s="17"/>
      <c r="V1828" s="17"/>
      <c r="W1828" s="17"/>
      <c r="X1828" s="17"/>
      <c r="Y1828" s="114">
        <v>100</v>
      </c>
      <c r="Z1828" s="114">
        <v>100</v>
      </c>
      <c r="AA1828" s="22">
        <v>1029221000</v>
      </c>
      <c r="AB1828" s="98">
        <f t="shared" si="567"/>
        <v>87.561381896636803</v>
      </c>
      <c r="AC1828" s="20">
        <f t="shared" si="568"/>
        <v>1029221000</v>
      </c>
      <c r="AD1828" s="98">
        <f t="shared" si="569"/>
        <v>87.561381896636803</v>
      </c>
    </row>
    <row r="1829" spans="2:30">
      <c r="B1829" s="43">
        <f>B1828+1</f>
        <v>21</v>
      </c>
      <c r="C1829" s="116">
        <v>19.006</v>
      </c>
      <c r="D1829" s="21" t="s">
        <v>1084</v>
      </c>
      <c r="E1829" s="347"/>
      <c r="F1829" s="347"/>
      <c r="G1829" s="498"/>
      <c r="H1829" s="105"/>
      <c r="I1829" s="105"/>
      <c r="J1829" s="15">
        <v>52945000</v>
      </c>
      <c r="K1829" s="110">
        <v>52745000</v>
      </c>
      <c r="L1829" s="47"/>
      <c r="M1829" s="51"/>
      <c r="N1829" s="51"/>
      <c r="O1829" s="51"/>
      <c r="P1829" s="51"/>
      <c r="Q1829" s="51"/>
      <c r="R1829" s="51"/>
      <c r="S1829" s="51"/>
      <c r="T1829" s="51"/>
      <c r="U1829" s="51"/>
      <c r="V1829" s="51"/>
      <c r="W1829" s="51"/>
      <c r="X1829" s="51"/>
      <c r="Y1829" s="114">
        <v>100</v>
      </c>
      <c r="Z1829" s="114">
        <v>100</v>
      </c>
      <c r="AA1829" s="112">
        <v>49918800</v>
      </c>
      <c r="AB1829" s="98">
        <f t="shared" si="567"/>
        <v>94.641766992131963</v>
      </c>
      <c r="AC1829" s="239">
        <f t="shared" si="568"/>
        <v>49918800</v>
      </c>
      <c r="AD1829" s="98">
        <f t="shared" si="569"/>
        <v>94.641766992131963</v>
      </c>
    </row>
    <row r="1830" spans="2:30">
      <c r="B1830" s="37">
        <v>133</v>
      </c>
      <c r="C1830" s="855" t="s">
        <v>1085</v>
      </c>
      <c r="D1830" s="855"/>
      <c r="E1830" s="483"/>
      <c r="F1830" s="483">
        <v>21</v>
      </c>
      <c r="G1830" s="468"/>
      <c r="H1830" s="483"/>
      <c r="I1830" s="468"/>
      <c r="J1830" s="208">
        <f>SUM(J1807:J1829)</f>
        <v>8231829000</v>
      </c>
      <c r="K1830" s="208">
        <f>SUM(K1807:K1829)</f>
        <v>9357965000</v>
      </c>
      <c r="L1830" s="295"/>
      <c r="M1830" s="28"/>
      <c r="N1830" s="28"/>
      <c r="O1830" s="28"/>
      <c r="P1830" s="28"/>
      <c r="Q1830" s="28"/>
      <c r="R1830" s="28"/>
      <c r="S1830" s="28"/>
      <c r="T1830" s="28"/>
      <c r="U1830" s="28"/>
      <c r="V1830" s="28"/>
      <c r="W1830" s="28"/>
      <c r="X1830" s="28"/>
      <c r="Y1830" s="68">
        <f>SUM(Y1807:Y1829)/21</f>
        <v>100</v>
      </c>
      <c r="Z1830" s="84">
        <f>SUM(Z1807:Z1829)/21</f>
        <v>99.047619047619051</v>
      </c>
      <c r="AA1830" s="68">
        <f>SUM(AA1807:AA1829)</f>
        <v>6767691734</v>
      </c>
      <c r="AB1830" s="84">
        <f>SUM(AB1807:AB1829)/21</f>
        <v>73.160256805000316</v>
      </c>
      <c r="AC1830" s="68">
        <f>SUM(AC1807:AC1829)</f>
        <v>6767691734</v>
      </c>
      <c r="AD1830" s="84">
        <f>SUM(AD1807:AD1829)/21</f>
        <v>73.160256805000316</v>
      </c>
    </row>
    <row r="1831" spans="2:30">
      <c r="B1831" s="66"/>
      <c r="C1831" s="63" t="s">
        <v>1086</v>
      </c>
      <c r="D1831" s="64" t="s">
        <v>1087</v>
      </c>
      <c r="E1831" s="484"/>
      <c r="F1831" s="563">
        <v>10</v>
      </c>
      <c r="G1831" s="535" t="s">
        <v>1464</v>
      </c>
      <c r="H1831" s="563">
        <v>0</v>
      </c>
      <c r="I1831" s="535" t="s">
        <v>1845</v>
      </c>
      <c r="J1831" s="237"/>
      <c r="K1831" s="65"/>
      <c r="L1831" s="66" t="s">
        <v>1</v>
      </c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  <c r="W1831" s="63"/>
      <c r="X1831" s="63"/>
      <c r="Y1831" s="63"/>
      <c r="Z1831" s="63"/>
      <c r="AA1831" s="63"/>
      <c r="AB1831" s="63"/>
      <c r="AC1831" s="63"/>
      <c r="AD1831" s="63"/>
    </row>
    <row r="1832" spans="2:30" ht="27">
      <c r="B1832" s="13"/>
      <c r="C1832" s="86" t="s">
        <v>942</v>
      </c>
      <c r="D1832" s="86" t="s">
        <v>26</v>
      </c>
      <c r="E1832" s="485"/>
      <c r="F1832" s="485"/>
      <c r="G1832" s="441"/>
      <c r="H1832" s="87"/>
      <c r="I1832" s="87"/>
      <c r="J1832" s="209"/>
      <c r="K1832" s="16"/>
      <c r="L1832" s="13"/>
      <c r="M1832" s="17"/>
      <c r="N1832" s="17"/>
      <c r="O1832" s="17"/>
      <c r="P1832" s="17"/>
      <c r="Q1832" s="17"/>
      <c r="R1832" s="17"/>
      <c r="S1832" s="17"/>
      <c r="T1832" s="17"/>
      <c r="U1832" s="17"/>
      <c r="V1832" s="17"/>
      <c r="W1832" s="17"/>
      <c r="X1832" s="17"/>
      <c r="Y1832" s="20"/>
      <c r="Z1832" s="20"/>
      <c r="AA1832" s="20"/>
      <c r="AB1832" s="98"/>
      <c r="AC1832" s="20"/>
      <c r="AD1832" s="98"/>
    </row>
    <row r="1833" spans="2:30">
      <c r="B1833" s="13">
        <f t="shared" ref="B1833:B1844" si="572">B1832+1</f>
        <v>1</v>
      </c>
      <c r="C1833" s="74" t="s">
        <v>203</v>
      </c>
      <c r="D1833" s="74" t="s">
        <v>28</v>
      </c>
      <c r="E1833" s="204"/>
      <c r="F1833" s="204">
        <v>1</v>
      </c>
      <c r="G1833" s="59" t="s">
        <v>1464</v>
      </c>
      <c r="H1833" s="389">
        <v>0</v>
      </c>
      <c r="I1833" s="389" t="s">
        <v>1464</v>
      </c>
      <c r="J1833" s="15">
        <v>155460000</v>
      </c>
      <c r="K1833" s="99">
        <v>215033000</v>
      </c>
      <c r="L1833" s="13"/>
      <c r="M1833" s="17"/>
      <c r="N1833" s="17"/>
      <c r="O1833" s="17"/>
      <c r="P1833" s="17"/>
      <c r="Q1833" s="17"/>
      <c r="R1833" s="17"/>
      <c r="S1833" s="17"/>
      <c r="T1833" s="17"/>
      <c r="U1833" s="17"/>
      <c r="V1833" s="17"/>
      <c r="W1833" s="17"/>
      <c r="X1833" s="17"/>
      <c r="Y1833" s="53">
        <v>100</v>
      </c>
      <c r="Z1833" s="53">
        <v>91.27</v>
      </c>
      <c r="AA1833" s="22">
        <v>196261859</v>
      </c>
      <c r="AB1833" s="19">
        <f>AA1833/K1833*100</f>
        <v>91.270576609171613</v>
      </c>
      <c r="AC1833" s="22">
        <v>150795074</v>
      </c>
      <c r="AD1833" s="19">
        <f>AC1833/K1833*100</f>
        <v>70.126480121655746</v>
      </c>
    </row>
    <row r="1834" spans="2:30">
      <c r="B1834" s="13">
        <v>2</v>
      </c>
      <c r="C1834" s="74" t="s">
        <v>210</v>
      </c>
      <c r="D1834" s="74" t="s">
        <v>30</v>
      </c>
      <c r="E1834" s="204"/>
      <c r="F1834" s="204">
        <v>1</v>
      </c>
      <c r="G1834" s="59" t="s">
        <v>1464</v>
      </c>
      <c r="H1834" s="389">
        <v>0</v>
      </c>
      <c r="I1834" s="389" t="s">
        <v>1464</v>
      </c>
      <c r="J1834" s="15">
        <v>589979000</v>
      </c>
      <c r="K1834" s="99">
        <v>769630000</v>
      </c>
      <c r="L1834" s="13"/>
      <c r="M1834" s="17"/>
      <c r="N1834" s="17"/>
      <c r="O1834" s="17"/>
      <c r="P1834" s="17"/>
      <c r="Q1834" s="17"/>
      <c r="R1834" s="17"/>
      <c r="S1834" s="17"/>
      <c r="T1834" s="17"/>
      <c r="U1834" s="17"/>
      <c r="V1834" s="17"/>
      <c r="W1834" s="17"/>
      <c r="X1834" s="17"/>
      <c r="Y1834" s="53">
        <v>100</v>
      </c>
      <c r="Z1834" s="53">
        <v>98.15</v>
      </c>
      <c r="AA1834" s="22">
        <v>755408434</v>
      </c>
      <c r="AB1834" s="19">
        <f t="shared" ref="AB1834:AB1844" si="573">AA1834/K1834*100</f>
        <v>98.152155451320766</v>
      </c>
      <c r="AC1834" s="22">
        <v>663884564</v>
      </c>
      <c r="AD1834" s="19">
        <f t="shared" ref="AD1834:AD1844" si="574">AC1834/K1834*100</f>
        <v>86.260224263607185</v>
      </c>
    </row>
    <row r="1835" spans="2:30">
      <c r="B1835" s="13">
        <f t="shared" si="572"/>
        <v>3</v>
      </c>
      <c r="C1835" s="74" t="s">
        <v>204</v>
      </c>
      <c r="D1835" s="74" t="s">
        <v>32</v>
      </c>
      <c r="E1835" s="204"/>
      <c r="F1835" s="204">
        <v>1</v>
      </c>
      <c r="G1835" s="59" t="s">
        <v>1464</v>
      </c>
      <c r="H1835" s="389">
        <v>0</v>
      </c>
      <c r="I1835" s="389" t="s">
        <v>1464</v>
      </c>
      <c r="J1835" s="15">
        <v>226133000</v>
      </c>
      <c r="K1835" s="99">
        <v>322517000</v>
      </c>
      <c r="L1835" s="13"/>
      <c r="M1835" s="17"/>
      <c r="N1835" s="17"/>
      <c r="O1835" s="17"/>
      <c r="P1835" s="17"/>
      <c r="Q1835" s="17"/>
      <c r="R1835" s="17"/>
      <c r="S1835" s="17"/>
      <c r="T1835" s="17"/>
      <c r="U1835" s="17"/>
      <c r="V1835" s="17"/>
      <c r="W1835" s="17"/>
      <c r="X1835" s="17"/>
      <c r="Y1835" s="53">
        <v>100</v>
      </c>
      <c r="Z1835" s="53">
        <v>93.6</v>
      </c>
      <c r="AA1835" s="22">
        <v>301869500</v>
      </c>
      <c r="AB1835" s="19">
        <f t="shared" si="573"/>
        <v>93.598011887745443</v>
      </c>
      <c r="AC1835" s="22">
        <v>208262400</v>
      </c>
      <c r="AD1835" s="19">
        <f t="shared" si="574"/>
        <v>64.574084466865315</v>
      </c>
    </row>
    <row r="1836" spans="2:30">
      <c r="B1836" s="13">
        <f t="shared" si="572"/>
        <v>4</v>
      </c>
      <c r="C1836" s="74" t="s">
        <v>205</v>
      </c>
      <c r="D1836" s="74" t="s">
        <v>34</v>
      </c>
      <c r="E1836" s="204"/>
      <c r="F1836" s="204">
        <v>1</v>
      </c>
      <c r="G1836" s="59" t="s">
        <v>1464</v>
      </c>
      <c r="H1836" s="389">
        <v>0</v>
      </c>
      <c r="I1836" s="389" t="s">
        <v>1464</v>
      </c>
      <c r="J1836" s="15">
        <v>5000000</v>
      </c>
      <c r="K1836" s="99">
        <v>67250000</v>
      </c>
      <c r="L1836" s="13"/>
      <c r="M1836" s="17"/>
      <c r="N1836" s="17"/>
      <c r="O1836" s="17"/>
      <c r="P1836" s="17"/>
      <c r="Q1836" s="17"/>
      <c r="R1836" s="17"/>
      <c r="S1836" s="17"/>
      <c r="T1836" s="17"/>
      <c r="U1836" s="17"/>
      <c r="V1836" s="17"/>
      <c r="W1836" s="17"/>
      <c r="X1836" s="17"/>
      <c r="Y1836" s="53">
        <v>100</v>
      </c>
      <c r="Z1836" s="53">
        <v>100</v>
      </c>
      <c r="AA1836" s="22">
        <v>67200000</v>
      </c>
      <c r="AB1836" s="19">
        <f t="shared" si="573"/>
        <v>99.925650557620813</v>
      </c>
      <c r="AC1836" s="22">
        <f t="shared" ref="AC1836:AC1837" si="575">AA1836</f>
        <v>67200000</v>
      </c>
      <c r="AD1836" s="19">
        <f t="shared" si="574"/>
        <v>99.925650557620813</v>
      </c>
    </row>
    <row r="1837" spans="2:30">
      <c r="B1837" s="13">
        <f t="shared" si="572"/>
        <v>5</v>
      </c>
      <c r="C1837" s="74" t="s">
        <v>215</v>
      </c>
      <c r="D1837" s="74" t="s">
        <v>36</v>
      </c>
      <c r="E1837" s="204"/>
      <c r="F1837" s="204">
        <v>1</v>
      </c>
      <c r="G1837" s="59" t="s">
        <v>1464</v>
      </c>
      <c r="H1837" s="389">
        <v>0</v>
      </c>
      <c r="I1837" s="389" t="s">
        <v>1464</v>
      </c>
      <c r="J1837" s="15">
        <v>30000000</v>
      </c>
      <c r="K1837" s="99">
        <v>12500000</v>
      </c>
      <c r="L1837" s="13"/>
      <c r="M1837" s="17"/>
      <c r="N1837" s="17"/>
      <c r="O1837" s="17"/>
      <c r="P1837" s="17"/>
      <c r="Q1837" s="17"/>
      <c r="R1837" s="17"/>
      <c r="S1837" s="17"/>
      <c r="T1837" s="17"/>
      <c r="U1837" s="17"/>
      <c r="V1837" s="17"/>
      <c r="W1837" s="17"/>
      <c r="X1837" s="17"/>
      <c r="Y1837" s="53">
        <v>100</v>
      </c>
      <c r="Z1837" s="53">
        <v>78.12</v>
      </c>
      <c r="AA1837" s="22">
        <v>9765500</v>
      </c>
      <c r="AB1837" s="19">
        <f t="shared" si="573"/>
        <v>78.124000000000009</v>
      </c>
      <c r="AC1837" s="22">
        <f t="shared" si="575"/>
        <v>9765500</v>
      </c>
      <c r="AD1837" s="19">
        <f t="shared" si="574"/>
        <v>78.124000000000009</v>
      </c>
    </row>
    <row r="1838" spans="2:30" ht="27">
      <c r="B1838" s="13"/>
      <c r="C1838" s="86" t="s">
        <v>1088</v>
      </c>
      <c r="D1838" s="86" t="s">
        <v>1089</v>
      </c>
      <c r="E1838" s="485"/>
      <c r="F1838" s="485"/>
      <c r="G1838" s="59"/>
      <c r="H1838" s="389"/>
      <c r="I1838" s="389"/>
      <c r="J1838" s="209"/>
      <c r="K1838" s="16"/>
      <c r="L1838" s="13"/>
      <c r="M1838" s="17"/>
      <c r="N1838" s="17"/>
      <c r="O1838" s="17"/>
      <c r="P1838" s="17"/>
      <c r="Q1838" s="17"/>
      <c r="R1838" s="17"/>
      <c r="S1838" s="17"/>
      <c r="T1838" s="17"/>
      <c r="U1838" s="17"/>
      <c r="V1838" s="17"/>
      <c r="W1838" s="17"/>
      <c r="X1838" s="17"/>
      <c r="Y1838" s="53"/>
      <c r="Z1838" s="53"/>
      <c r="AA1838" s="22"/>
      <c r="AB1838" s="19"/>
      <c r="AC1838" s="22"/>
      <c r="AD1838" s="19"/>
    </row>
    <row r="1839" spans="2:30">
      <c r="B1839" s="13">
        <f>B1837+1</f>
        <v>6</v>
      </c>
      <c r="C1839" s="74" t="s">
        <v>1090</v>
      </c>
      <c r="D1839" s="74" t="s">
        <v>1091</v>
      </c>
      <c r="E1839" s="204"/>
      <c r="F1839" s="204">
        <v>1</v>
      </c>
      <c r="G1839" s="59" t="s">
        <v>1464</v>
      </c>
      <c r="H1839" s="389">
        <v>0</v>
      </c>
      <c r="I1839" s="389" t="s">
        <v>1464</v>
      </c>
      <c r="J1839" s="15">
        <v>70000000</v>
      </c>
      <c r="K1839" s="99">
        <v>100000000</v>
      </c>
      <c r="L1839" s="13"/>
      <c r="M1839" s="17"/>
      <c r="N1839" s="17"/>
      <c r="O1839" s="17"/>
      <c r="P1839" s="17"/>
      <c r="Q1839" s="17"/>
      <c r="R1839" s="17"/>
      <c r="S1839" s="17"/>
      <c r="T1839" s="17"/>
      <c r="U1839" s="17"/>
      <c r="V1839" s="17"/>
      <c r="W1839" s="17"/>
      <c r="X1839" s="17"/>
      <c r="Y1839" s="53">
        <v>100</v>
      </c>
      <c r="Z1839" s="53">
        <v>99.61</v>
      </c>
      <c r="AA1839" s="22">
        <v>99611250</v>
      </c>
      <c r="AB1839" s="19">
        <f t="shared" si="573"/>
        <v>99.611249999999998</v>
      </c>
      <c r="AC1839" s="22">
        <v>9924250</v>
      </c>
      <c r="AD1839" s="19">
        <f t="shared" si="574"/>
        <v>9.9242499999999989</v>
      </c>
    </row>
    <row r="1840" spans="2:30" ht="20.25" customHeight="1">
      <c r="B1840" s="45">
        <f t="shared" si="572"/>
        <v>7</v>
      </c>
      <c r="C1840" s="74" t="s">
        <v>1092</v>
      </c>
      <c r="D1840" s="74" t="s">
        <v>2096</v>
      </c>
      <c r="E1840" s="204"/>
      <c r="F1840" s="204">
        <v>1</v>
      </c>
      <c r="G1840" s="59" t="s">
        <v>1464</v>
      </c>
      <c r="H1840" s="389">
        <v>0</v>
      </c>
      <c r="I1840" s="389" t="s">
        <v>1464</v>
      </c>
      <c r="J1840" s="15">
        <v>4750000</v>
      </c>
      <c r="K1840" s="99">
        <v>6070000</v>
      </c>
      <c r="L1840" s="45"/>
      <c r="M1840" s="44"/>
      <c r="N1840" s="44"/>
      <c r="O1840" s="44"/>
      <c r="P1840" s="44"/>
      <c r="Q1840" s="44"/>
      <c r="R1840" s="44"/>
      <c r="S1840" s="44"/>
      <c r="T1840" s="44"/>
      <c r="U1840" s="44"/>
      <c r="V1840" s="44"/>
      <c r="W1840" s="44"/>
      <c r="X1840" s="44"/>
      <c r="Y1840" s="53">
        <v>100</v>
      </c>
      <c r="Z1840" s="53">
        <v>92.09</v>
      </c>
      <c r="AA1840" s="73">
        <v>5590000</v>
      </c>
      <c r="AB1840" s="19">
        <f t="shared" si="573"/>
        <v>92.092257001647454</v>
      </c>
      <c r="AC1840" s="22">
        <f t="shared" ref="AC1840" si="576">AA1840</f>
        <v>5590000</v>
      </c>
      <c r="AD1840" s="19">
        <f t="shared" si="574"/>
        <v>92.092257001647454</v>
      </c>
    </row>
    <row r="1841" spans="2:30" ht="21" customHeight="1">
      <c r="B1841" s="45">
        <f t="shared" si="572"/>
        <v>8</v>
      </c>
      <c r="C1841" s="58" t="s">
        <v>1093</v>
      </c>
      <c r="D1841" s="59" t="s">
        <v>1094</v>
      </c>
      <c r="E1841" s="204"/>
      <c r="F1841" s="204">
        <v>1</v>
      </c>
      <c r="G1841" s="59" t="s">
        <v>1464</v>
      </c>
      <c r="H1841" s="389">
        <v>0</v>
      </c>
      <c r="I1841" s="389" t="s">
        <v>1464</v>
      </c>
      <c r="J1841" s="15">
        <v>60243000</v>
      </c>
      <c r="K1841" s="99">
        <v>73879000</v>
      </c>
      <c r="L1841" s="13"/>
      <c r="M1841" s="17"/>
      <c r="N1841" s="17"/>
      <c r="O1841" s="17"/>
      <c r="P1841" s="17"/>
      <c r="Q1841" s="17"/>
      <c r="R1841" s="17"/>
      <c r="S1841" s="17"/>
      <c r="T1841" s="17"/>
      <c r="U1841" s="17"/>
      <c r="V1841" s="17"/>
      <c r="W1841" s="17"/>
      <c r="X1841" s="17"/>
      <c r="Y1841" s="53">
        <v>100</v>
      </c>
      <c r="Z1841" s="53">
        <v>93.06</v>
      </c>
      <c r="AA1841" s="22">
        <v>68752000</v>
      </c>
      <c r="AB1841" s="19">
        <f t="shared" si="573"/>
        <v>93.06027423219048</v>
      </c>
      <c r="AC1841" s="22">
        <v>18190000</v>
      </c>
      <c r="AD1841" s="19">
        <f t="shared" si="574"/>
        <v>24.621340299679208</v>
      </c>
    </row>
    <row r="1842" spans="2:30" ht="20.25" customHeight="1">
      <c r="B1842" s="45">
        <f t="shared" si="572"/>
        <v>9</v>
      </c>
      <c r="C1842" s="58" t="s">
        <v>1095</v>
      </c>
      <c r="D1842" s="59" t="s">
        <v>1096</v>
      </c>
      <c r="E1842" s="204"/>
      <c r="F1842" s="204">
        <v>1</v>
      </c>
      <c r="G1842" s="59" t="s">
        <v>1464</v>
      </c>
      <c r="H1842" s="389">
        <v>0</v>
      </c>
      <c r="I1842" s="389" t="s">
        <v>1464</v>
      </c>
      <c r="J1842" s="15">
        <v>29066000</v>
      </c>
      <c r="K1842" s="99">
        <v>19416000</v>
      </c>
      <c r="L1842" s="13"/>
      <c r="M1842" s="17"/>
      <c r="N1842" s="17"/>
      <c r="O1842" s="17"/>
      <c r="P1842" s="17"/>
      <c r="Q1842" s="17"/>
      <c r="R1842" s="17"/>
      <c r="S1842" s="17"/>
      <c r="T1842" s="17"/>
      <c r="U1842" s="17"/>
      <c r="V1842" s="17"/>
      <c r="W1842" s="17"/>
      <c r="X1842" s="17"/>
      <c r="Y1842" s="53">
        <v>100</v>
      </c>
      <c r="Z1842" s="53">
        <v>97.7</v>
      </c>
      <c r="AA1842" s="22">
        <v>18969500</v>
      </c>
      <c r="AB1842" s="19">
        <f t="shared" si="573"/>
        <v>97.700350226617232</v>
      </c>
      <c r="AC1842" s="22">
        <v>1193500</v>
      </c>
      <c r="AD1842" s="19">
        <f t="shared" si="574"/>
        <v>6.1469921714050271</v>
      </c>
    </row>
    <row r="1843" spans="2:30">
      <c r="B1843" s="45">
        <f t="shared" si="572"/>
        <v>10</v>
      </c>
      <c r="C1843" s="169" t="s">
        <v>1097</v>
      </c>
      <c r="D1843" s="270" t="s">
        <v>1098</v>
      </c>
      <c r="E1843" s="489"/>
      <c r="F1843" s="489">
        <v>1</v>
      </c>
      <c r="G1843" s="59" t="s">
        <v>1464</v>
      </c>
      <c r="H1843" s="389">
        <v>0</v>
      </c>
      <c r="I1843" s="389" t="s">
        <v>1464</v>
      </c>
      <c r="J1843" s="15">
        <v>58804000</v>
      </c>
      <c r="K1843" s="99">
        <v>69600000</v>
      </c>
      <c r="L1843" s="45"/>
      <c r="M1843" s="44"/>
      <c r="N1843" s="44"/>
      <c r="O1843" s="44"/>
      <c r="P1843" s="44"/>
      <c r="Q1843" s="44"/>
      <c r="R1843" s="44"/>
      <c r="S1843" s="44"/>
      <c r="T1843" s="44"/>
      <c r="U1843" s="44"/>
      <c r="V1843" s="44"/>
      <c r="W1843" s="44"/>
      <c r="X1843" s="44"/>
      <c r="Y1843" s="53">
        <v>100</v>
      </c>
      <c r="Z1843" s="53"/>
      <c r="AA1843" s="73"/>
      <c r="AB1843" s="19">
        <f t="shared" si="573"/>
        <v>0</v>
      </c>
      <c r="AC1843" s="22">
        <v>32972000</v>
      </c>
      <c r="AD1843" s="19">
        <f t="shared" si="574"/>
        <v>47.373563218390807</v>
      </c>
    </row>
    <row r="1844" spans="2:30">
      <c r="B1844" s="45">
        <f t="shared" si="572"/>
        <v>11</v>
      </c>
      <c r="C1844" s="60" t="s">
        <v>2337</v>
      </c>
      <c r="D1844" s="60" t="s">
        <v>2338</v>
      </c>
      <c r="E1844" s="33"/>
      <c r="F1844" s="489">
        <v>1</v>
      </c>
      <c r="G1844" s="59" t="s">
        <v>1464</v>
      </c>
      <c r="H1844" s="565"/>
      <c r="I1844" s="565"/>
      <c r="J1844" s="598"/>
      <c r="K1844" s="99">
        <v>69600000</v>
      </c>
      <c r="L1844" s="47"/>
      <c r="M1844" s="51"/>
      <c r="N1844" s="51"/>
      <c r="O1844" s="51"/>
      <c r="P1844" s="51"/>
      <c r="Q1844" s="51"/>
      <c r="R1844" s="51"/>
      <c r="S1844" s="51"/>
      <c r="T1844" s="51"/>
      <c r="U1844" s="51"/>
      <c r="V1844" s="51"/>
      <c r="W1844" s="51"/>
      <c r="X1844" s="51"/>
      <c r="Y1844" s="111">
        <v>100</v>
      </c>
      <c r="Z1844" s="111">
        <v>98.17</v>
      </c>
      <c r="AA1844" s="112">
        <v>68323800</v>
      </c>
      <c r="AB1844" s="19">
        <f t="shared" si="573"/>
        <v>98.166379310344837</v>
      </c>
      <c r="AC1844" s="112"/>
      <c r="AD1844" s="19">
        <f t="shared" si="574"/>
        <v>0</v>
      </c>
    </row>
    <row r="1845" spans="2:30">
      <c r="B1845" s="37">
        <v>134</v>
      </c>
      <c r="C1845" s="855" t="s">
        <v>1099</v>
      </c>
      <c r="D1845" s="855"/>
      <c r="E1845" s="483"/>
      <c r="F1845" s="508">
        <v>10</v>
      </c>
      <c r="G1845" s="599" t="s">
        <v>1464</v>
      </c>
      <c r="H1845" s="508">
        <f>SUM(H1833:H1843)</f>
        <v>0</v>
      </c>
      <c r="I1845" s="599" t="s">
        <v>1464</v>
      </c>
      <c r="J1845" s="35">
        <f>SUM(J1833:J1843)</f>
        <v>1229435000</v>
      </c>
      <c r="K1845" s="35">
        <f>SUM(K1833:K1844)</f>
        <v>1725495000</v>
      </c>
      <c r="L1845" s="37"/>
      <c r="M1845" s="38"/>
      <c r="N1845" s="38"/>
      <c r="O1845" s="38"/>
      <c r="P1845" s="38"/>
      <c r="Q1845" s="38"/>
      <c r="R1845" s="38" t="s">
        <v>1458</v>
      </c>
      <c r="S1845" s="619" t="s">
        <v>1459</v>
      </c>
      <c r="T1845" s="619" t="s">
        <v>1459</v>
      </c>
      <c r="U1845" s="619" t="s">
        <v>1459</v>
      </c>
      <c r="V1845" s="619" t="s">
        <v>1459</v>
      </c>
      <c r="W1845" s="619" t="s">
        <v>1459</v>
      </c>
      <c r="X1845" s="619"/>
      <c r="Y1845" s="82">
        <f>SUM(Y1833:Y1843)/10</f>
        <v>100</v>
      </c>
      <c r="Z1845" s="82">
        <f>SUM(Z1833:Z1843)/10</f>
        <v>84.360000000000014</v>
      </c>
      <c r="AA1845" s="35">
        <f>SUM(AA1833:AA1844)</f>
        <v>1591751843</v>
      </c>
      <c r="AB1845" s="82">
        <f>SUM(AB1833:AB1843)/10</f>
        <v>84.353452596631399</v>
      </c>
      <c r="AC1845" s="35">
        <f>SUM(AC1833:AC1843)</f>
        <v>1167777288</v>
      </c>
      <c r="AD1845" s="82">
        <f>SUM(AD1833:AD1843)/10</f>
        <v>57.916884210087154</v>
      </c>
    </row>
    <row r="1846" spans="2:30">
      <c r="B1846" s="66"/>
      <c r="C1846" s="63" t="s">
        <v>1100</v>
      </c>
      <c r="D1846" s="64" t="s">
        <v>1101</v>
      </c>
      <c r="E1846" s="484"/>
      <c r="F1846" s="551">
        <v>7</v>
      </c>
      <c r="G1846" s="552" t="s">
        <v>1845</v>
      </c>
      <c r="H1846" s="551">
        <v>0</v>
      </c>
      <c r="I1846" s="552" t="s">
        <v>1845</v>
      </c>
      <c r="J1846" s="65"/>
      <c r="K1846" s="65"/>
      <c r="L1846" s="66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  <c r="W1846" s="63"/>
      <c r="X1846" s="63"/>
      <c r="Y1846" s="63"/>
      <c r="Z1846" s="63"/>
      <c r="AA1846" s="63"/>
      <c r="AB1846" s="63"/>
      <c r="AC1846" s="63"/>
      <c r="AD1846" s="63"/>
    </row>
    <row r="1847" spans="2:30" ht="27">
      <c r="B1847" s="241"/>
      <c r="C1847" s="132" t="s">
        <v>1102</v>
      </c>
      <c r="D1847" s="86" t="s">
        <v>544</v>
      </c>
      <c r="E1847" s="484"/>
      <c r="F1847" s="484"/>
      <c r="G1847" s="472"/>
      <c r="H1847" s="242"/>
      <c r="I1847" s="242"/>
      <c r="J1847" s="65"/>
      <c r="K1847" s="65"/>
      <c r="L1847" s="66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  <c r="W1847" s="63"/>
      <c r="X1847" s="63"/>
      <c r="Y1847" s="63"/>
      <c r="Z1847" s="63"/>
      <c r="AA1847" s="63"/>
      <c r="AB1847" s="63"/>
      <c r="AC1847" s="63"/>
      <c r="AD1847" s="63"/>
    </row>
    <row r="1848" spans="2:30" ht="25.5">
      <c r="B1848" s="241">
        <v>1</v>
      </c>
      <c r="C1848" s="243">
        <v>21.024999999999999</v>
      </c>
      <c r="D1848" s="21" t="s">
        <v>1103</v>
      </c>
      <c r="E1848" s="484"/>
      <c r="F1848" s="241">
        <v>1</v>
      </c>
      <c r="G1848" s="552" t="s">
        <v>1845</v>
      </c>
      <c r="H1848" s="600">
        <v>0</v>
      </c>
      <c r="I1848" s="552" t="s">
        <v>1845</v>
      </c>
      <c r="J1848" s="15">
        <v>156500000</v>
      </c>
      <c r="K1848" s="99">
        <v>0</v>
      </c>
      <c r="L1848" s="66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  <c r="W1848" s="63"/>
      <c r="X1848" s="63"/>
      <c r="Y1848" s="63">
        <v>0</v>
      </c>
      <c r="Z1848" s="63">
        <v>0</v>
      </c>
      <c r="AA1848" s="63">
        <v>0</v>
      </c>
      <c r="AB1848" s="63"/>
      <c r="AC1848" s="63"/>
      <c r="AD1848" s="63"/>
    </row>
    <row r="1849" spans="2:30">
      <c r="B1849" s="241">
        <f>B1848+1</f>
        <v>2</v>
      </c>
      <c r="C1849" s="243">
        <v>21.044</v>
      </c>
      <c r="D1849" s="58" t="s">
        <v>2118</v>
      </c>
      <c r="E1849" s="484"/>
      <c r="F1849" s="241">
        <v>1</v>
      </c>
      <c r="G1849" s="552"/>
      <c r="H1849" s="600"/>
      <c r="I1849" s="552"/>
      <c r="J1849" s="15"/>
      <c r="K1849" s="99">
        <v>180000000</v>
      </c>
      <c r="L1849" s="66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  <c r="W1849" s="63"/>
      <c r="X1849" s="63"/>
      <c r="Y1849" s="63">
        <f>AB1849</f>
        <v>99.7</v>
      </c>
      <c r="Z1849" s="63">
        <f>AD1849</f>
        <v>99.7</v>
      </c>
      <c r="AA1849" s="135">
        <v>179460000</v>
      </c>
      <c r="AB1849" s="761">
        <f>AA1849/K1849*100</f>
        <v>99.7</v>
      </c>
      <c r="AC1849" s="137">
        <f>AA1849</f>
        <v>179460000</v>
      </c>
      <c r="AD1849" s="761">
        <f>AC1849/K1849*100</f>
        <v>99.7</v>
      </c>
    </row>
    <row r="1850" spans="2:30">
      <c r="B1850" s="241">
        <f>B1849+1</f>
        <v>3</v>
      </c>
      <c r="C1850" s="243">
        <v>21.045000000000002</v>
      </c>
      <c r="D1850" s="58" t="s">
        <v>2339</v>
      </c>
      <c r="E1850" s="484"/>
      <c r="F1850" s="241">
        <v>1</v>
      </c>
      <c r="G1850" s="552"/>
      <c r="H1850" s="600"/>
      <c r="I1850" s="552"/>
      <c r="J1850" s="15"/>
      <c r="K1850" s="99">
        <v>205000000</v>
      </c>
      <c r="L1850" s="66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  <c r="W1850" s="63"/>
      <c r="X1850" s="63"/>
      <c r="Y1850" s="134">
        <f>AB1850</f>
        <v>99.866097560975604</v>
      </c>
      <c r="Z1850" s="134">
        <f>AD1850</f>
        <v>99.866097560975604</v>
      </c>
      <c r="AA1850" s="135">
        <v>204725500</v>
      </c>
      <c r="AB1850" s="761">
        <f>AA1850/K1850*100</f>
        <v>99.866097560975604</v>
      </c>
      <c r="AC1850" s="137">
        <f>AA1850</f>
        <v>204725500</v>
      </c>
      <c r="AD1850" s="761">
        <f>AC1850/K1850*100</f>
        <v>99.866097560975604</v>
      </c>
    </row>
    <row r="1851" spans="2:30" ht="27">
      <c r="B1851" s="97"/>
      <c r="C1851" s="86" t="s">
        <v>942</v>
      </c>
      <c r="D1851" s="86" t="s">
        <v>26</v>
      </c>
      <c r="E1851" s="485"/>
      <c r="F1851" s="241"/>
      <c r="G1851" s="441"/>
      <c r="H1851" s="600"/>
      <c r="I1851" s="441"/>
      <c r="J1851" s="130" t="s">
        <v>1</v>
      </c>
      <c r="K1851" s="16"/>
      <c r="L1851" s="13"/>
      <c r="M1851" s="17"/>
      <c r="N1851" s="17"/>
      <c r="O1851" s="17"/>
      <c r="P1851" s="17"/>
      <c r="Q1851" s="17"/>
      <c r="R1851" s="17"/>
      <c r="S1851" s="17"/>
      <c r="T1851" s="17"/>
      <c r="U1851" s="17"/>
      <c r="V1851" s="17"/>
      <c r="W1851" s="17"/>
      <c r="X1851" s="17"/>
      <c r="Y1851" s="17"/>
      <c r="Z1851" s="17"/>
      <c r="AA1851" s="17"/>
      <c r="AB1851" s="17"/>
      <c r="AC1851" s="17"/>
      <c r="AD1851" s="17"/>
    </row>
    <row r="1852" spans="2:30">
      <c r="B1852" s="97">
        <f>B1850+1</f>
        <v>4</v>
      </c>
      <c r="C1852" s="74" t="s">
        <v>203</v>
      </c>
      <c r="D1852" s="74" t="s">
        <v>28</v>
      </c>
      <c r="E1852" s="204"/>
      <c r="F1852" s="241">
        <v>1</v>
      </c>
      <c r="G1852" s="552" t="s">
        <v>1845</v>
      </c>
      <c r="H1852" s="600">
        <v>0</v>
      </c>
      <c r="I1852" s="552" t="s">
        <v>1845</v>
      </c>
      <c r="J1852" s="15">
        <v>62375000</v>
      </c>
      <c r="K1852" s="99">
        <v>129890000</v>
      </c>
      <c r="L1852" s="13"/>
      <c r="M1852" s="17"/>
      <c r="N1852" s="17"/>
      <c r="O1852" s="17"/>
      <c r="P1852" s="17"/>
      <c r="Q1852" s="17"/>
      <c r="R1852" s="17"/>
      <c r="S1852" s="17"/>
      <c r="T1852" s="17"/>
      <c r="U1852" s="17"/>
      <c r="V1852" s="17"/>
      <c r="W1852" s="17"/>
      <c r="X1852" s="17"/>
      <c r="Y1852" s="98">
        <f>AB1852</f>
        <v>94.578551081684509</v>
      </c>
      <c r="Z1852" s="98">
        <f>AD1852</f>
        <v>94.578551081684509</v>
      </c>
      <c r="AA1852" s="22">
        <v>122848080</v>
      </c>
      <c r="AB1852" s="98">
        <f>AA1852/K1852*100</f>
        <v>94.578551081684509</v>
      </c>
      <c r="AC1852" s="20">
        <f>AA1852</f>
        <v>122848080</v>
      </c>
      <c r="AD1852" s="98">
        <f>AC1852/K1852*100</f>
        <v>94.578551081684509</v>
      </c>
    </row>
    <row r="1853" spans="2:30">
      <c r="B1853" s="97">
        <f>B1852+1</f>
        <v>5</v>
      </c>
      <c r="C1853" s="74" t="s">
        <v>210</v>
      </c>
      <c r="D1853" s="74" t="s">
        <v>30</v>
      </c>
      <c r="E1853" s="204"/>
      <c r="F1853" s="241">
        <v>1</v>
      </c>
      <c r="G1853" s="552" t="s">
        <v>1845</v>
      </c>
      <c r="H1853" s="600">
        <v>0</v>
      </c>
      <c r="I1853" s="552" t="s">
        <v>1845</v>
      </c>
      <c r="J1853" s="15">
        <v>13000000</v>
      </c>
      <c r="K1853" s="99">
        <v>8000000</v>
      </c>
      <c r="L1853" s="13"/>
      <c r="M1853" s="17"/>
      <c r="N1853" s="17"/>
      <c r="O1853" s="17"/>
      <c r="P1853" s="17"/>
      <c r="Q1853" s="17"/>
      <c r="R1853" s="17"/>
      <c r="S1853" s="17"/>
      <c r="T1853" s="17"/>
      <c r="U1853" s="17"/>
      <c r="V1853" s="17"/>
      <c r="W1853" s="17"/>
      <c r="X1853" s="17"/>
      <c r="Y1853" s="20">
        <f t="shared" ref="Y1853:Y1858" si="577">AB1853</f>
        <v>100</v>
      </c>
      <c r="Z1853" s="20">
        <f t="shared" ref="Z1853:Z1858" si="578">AD1853</f>
        <v>100</v>
      </c>
      <c r="AA1853" s="22">
        <v>8000000</v>
      </c>
      <c r="AB1853" s="98">
        <f t="shared" ref="AB1853:AB1858" si="579">AA1853/K1853*100</f>
        <v>100</v>
      </c>
      <c r="AC1853" s="20">
        <f t="shared" ref="AC1853:AC1858" si="580">AA1853</f>
        <v>8000000</v>
      </c>
      <c r="AD1853" s="98">
        <f t="shared" ref="AD1853:AD1858" si="581">AC1853/K1853*100</f>
        <v>100</v>
      </c>
    </row>
    <row r="1854" spans="2:30">
      <c r="B1854" s="97">
        <f>B1853+1</f>
        <v>6</v>
      </c>
      <c r="C1854" s="74" t="s">
        <v>204</v>
      </c>
      <c r="D1854" s="74" t="s">
        <v>32</v>
      </c>
      <c r="E1854" s="204"/>
      <c r="F1854" s="241">
        <v>1</v>
      </c>
      <c r="G1854" s="552" t="s">
        <v>1845</v>
      </c>
      <c r="H1854" s="600">
        <v>0</v>
      </c>
      <c r="I1854" s="552" t="s">
        <v>1845</v>
      </c>
      <c r="J1854" s="15">
        <v>80038000</v>
      </c>
      <c r="K1854" s="99">
        <v>86103000</v>
      </c>
      <c r="L1854" s="13"/>
      <c r="M1854" s="17"/>
      <c r="N1854" s="17"/>
      <c r="O1854" s="17"/>
      <c r="P1854" s="17"/>
      <c r="Q1854" s="17"/>
      <c r="R1854" s="17"/>
      <c r="S1854" s="17"/>
      <c r="T1854" s="17"/>
      <c r="U1854" s="17"/>
      <c r="V1854" s="17"/>
      <c r="W1854" s="17"/>
      <c r="X1854" s="17"/>
      <c r="Y1854" s="98">
        <f t="shared" si="577"/>
        <v>99.727535625936383</v>
      </c>
      <c r="Z1854" s="98">
        <f t="shared" si="578"/>
        <v>99.727535625936383</v>
      </c>
      <c r="AA1854" s="22">
        <v>85868400</v>
      </c>
      <c r="AB1854" s="98">
        <f t="shared" si="579"/>
        <v>99.727535625936383</v>
      </c>
      <c r="AC1854" s="20">
        <f t="shared" si="580"/>
        <v>85868400</v>
      </c>
      <c r="AD1854" s="98">
        <f t="shared" si="581"/>
        <v>99.727535625936383</v>
      </c>
    </row>
    <row r="1855" spans="2:30">
      <c r="B1855" s="97">
        <f>B1854+1</f>
        <v>7</v>
      </c>
      <c r="C1855" s="74" t="s">
        <v>205</v>
      </c>
      <c r="D1855" s="74" t="s">
        <v>34</v>
      </c>
      <c r="E1855" s="204"/>
      <c r="F1855" s="241">
        <v>1</v>
      </c>
      <c r="G1855" s="552" t="s">
        <v>1845</v>
      </c>
      <c r="H1855" s="600">
        <v>0</v>
      </c>
      <c r="I1855" s="552" t="s">
        <v>1845</v>
      </c>
      <c r="J1855" s="15">
        <v>24470000</v>
      </c>
      <c r="K1855" s="99">
        <v>33695000</v>
      </c>
      <c r="L1855" s="13"/>
      <c r="M1855" s="17"/>
      <c r="N1855" s="17"/>
      <c r="O1855" s="17"/>
      <c r="P1855" s="17"/>
      <c r="Q1855" s="17"/>
      <c r="R1855" s="17"/>
      <c r="S1855" s="17"/>
      <c r="T1855" s="17"/>
      <c r="U1855" s="17"/>
      <c r="V1855" s="17"/>
      <c r="W1855" s="17"/>
      <c r="X1855" s="17"/>
      <c r="Y1855" s="20">
        <f t="shared" si="577"/>
        <v>100</v>
      </c>
      <c r="Z1855" s="20">
        <f t="shared" si="578"/>
        <v>100</v>
      </c>
      <c r="AA1855" s="22">
        <v>33695000</v>
      </c>
      <c r="AB1855" s="98">
        <f t="shared" si="579"/>
        <v>100</v>
      </c>
      <c r="AC1855" s="20">
        <f t="shared" si="580"/>
        <v>33695000</v>
      </c>
      <c r="AD1855" s="98">
        <f t="shared" si="581"/>
        <v>100</v>
      </c>
    </row>
    <row r="1856" spans="2:30" ht="25.5">
      <c r="B1856" s="97">
        <f>B1855+1</f>
        <v>8</v>
      </c>
      <c r="C1856" s="123" t="s">
        <v>216</v>
      </c>
      <c r="D1856" s="21" t="s">
        <v>38</v>
      </c>
      <c r="E1856" s="204"/>
      <c r="F1856" s="241">
        <v>1</v>
      </c>
      <c r="G1856" s="552" t="s">
        <v>1845</v>
      </c>
      <c r="H1856" s="600">
        <v>0</v>
      </c>
      <c r="I1856" s="552" t="s">
        <v>1845</v>
      </c>
      <c r="J1856" s="15">
        <v>4000000</v>
      </c>
      <c r="K1856" s="99">
        <v>4000000</v>
      </c>
      <c r="L1856" s="13"/>
      <c r="M1856" s="17"/>
      <c r="N1856" s="17"/>
      <c r="O1856" s="17"/>
      <c r="P1856" s="17"/>
      <c r="Q1856" s="17"/>
      <c r="R1856" s="17"/>
      <c r="S1856" s="17"/>
      <c r="T1856" s="17"/>
      <c r="U1856" s="17"/>
      <c r="V1856" s="17"/>
      <c r="W1856" s="17"/>
      <c r="X1856" s="17"/>
      <c r="Y1856" s="20">
        <f t="shared" si="577"/>
        <v>100</v>
      </c>
      <c r="Z1856" s="20">
        <f t="shared" si="578"/>
        <v>100</v>
      </c>
      <c r="AA1856" s="22">
        <v>4000000</v>
      </c>
      <c r="AB1856" s="98">
        <f t="shared" si="579"/>
        <v>100</v>
      </c>
      <c r="AC1856" s="20">
        <f t="shared" si="580"/>
        <v>4000000</v>
      </c>
      <c r="AD1856" s="20">
        <f t="shared" si="581"/>
        <v>100</v>
      </c>
    </row>
    <row r="1857" spans="2:30" ht="15.75">
      <c r="B1857" s="97"/>
      <c r="C1857" s="86" t="s">
        <v>1104</v>
      </c>
      <c r="D1857" s="86" t="s">
        <v>1105</v>
      </c>
      <c r="E1857" s="485"/>
      <c r="F1857" s="241"/>
      <c r="G1857" s="441"/>
      <c r="H1857" s="600"/>
      <c r="I1857" s="441"/>
      <c r="J1857" s="130"/>
      <c r="K1857" s="16"/>
      <c r="L1857" s="13"/>
      <c r="M1857" s="17"/>
      <c r="N1857" s="17"/>
      <c r="O1857" s="17"/>
      <c r="P1857" s="17"/>
      <c r="Q1857" s="17"/>
      <c r="R1857" s="17"/>
      <c r="S1857" s="17"/>
      <c r="T1857" s="17"/>
      <c r="U1857" s="17"/>
      <c r="V1857" s="17"/>
      <c r="W1857" s="17"/>
      <c r="X1857" s="17"/>
      <c r="Y1857" s="98"/>
      <c r="Z1857" s="98"/>
      <c r="AA1857" s="22"/>
      <c r="AB1857" s="98"/>
      <c r="AC1857" s="20">
        <f t="shared" si="580"/>
        <v>0</v>
      </c>
      <c r="AD1857" s="98"/>
    </row>
    <row r="1858" spans="2:30">
      <c r="B1858" s="97">
        <v>9</v>
      </c>
      <c r="C1858" s="74" t="s">
        <v>306</v>
      </c>
      <c r="D1858" s="74" t="s">
        <v>1106</v>
      </c>
      <c r="E1858" s="204"/>
      <c r="F1858" s="241">
        <v>1</v>
      </c>
      <c r="G1858" s="552" t="s">
        <v>1845</v>
      </c>
      <c r="H1858" s="600">
        <v>0</v>
      </c>
      <c r="I1858" s="552" t="s">
        <v>1845</v>
      </c>
      <c r="J1858" s="15">
        <v>54399000</v>
      </c>
      <c r="K1858" s="99">
        <v>68199000</v>
      </c>
      <c r="L1858" s="13"/>
      <c r="M1858" s="17"/>
      <c r="N1858" s="17"/>
      <c r="O1858" s="17"/>
      <c r="P1858" s="17"/>
      <c r="Q1858" s="17"/>
      <c r="R1858" s="17"/>
      <c r="S1858" s="17"/>
      <c r="T1858" s="17"/>
      <c r="U1858" s="17"/>
      <c r="V1858" s="17"/>
      <c r="W1858" s="17"/>
      <c r="X1858" s="17"/>
      <c r="Y1858" s="98">
        <f t="shared" si="577"/>
        <v>99.17887359052186</v>
      </c>
      <c r="Z1858" s="98">
        <f t="shared" si="578"/>
        <v>99.17887359052186</v>
      </c>
      <c r="AA1858" s="22">
        <v>67639000</v>
      </c>
      <c r="AB1858" s="98">
        <f t="shared" si="579"/>
        <v>99.17887359052186</v>
      </c>
      <c r="AC1858" s="20">
        <f t="shared" si="580"/>
        <v>67639000</v>
      </c>
      <c r="AD1858" s="98">
        <f t="shared" si="581"/>
        <v>99.17887359052186</v>
      </c>
    </row>
    <row r="1859" spans="2:30" ht="17.25" customHeight="1">
      <c r="B1859" s="37">
        <v>135</v>
      </c>
      <c r="C1859" s="855" t="s">
        <v>1107</v>
      </c>
      <c r="D1859" s="855"/>
      <c r="E1859" s="483"/>
      <c r="F1859" s="494">
        <v>7</v>
      </c>
      <c r="G1859" s="521" t="s">
        <v>1845</v>
      </c>
      <c r="H1859" s="596">
        <f>SUM(H1848:H1858)</f>
        <v>0</v>
      </c>
      <c r="I1859" s="521" t="s">
        <v>1845</v>
      </c>
      <c r="J1859" s="35">
        <f>SUM(J1848:J1858)</f>
        <v>394782000</v>
      </c>
      <c r="K1859" s="35">
        <f>SUM(K1848:K1858)</f>
        <v>714887000</v>
      </c>
      <c r="L1859" s="295"/>
      <c r="M1859" s="28"/>
      <c r="N1859" s="28"/>
      <c r="O1859" s="28"/>
      <c r="P1859" s="28"/>
      <c r="Q1859" s="28"/>
      <c r="R1859" s="28"/>
      <c r="S1859" s="28"/>
      <c r="T1859" s="28"/>
      <c r="U1859" s="28"/>
      <c r="V1859" s="28"/>
      <c r="W1859" s="28"/>
      <c r="X1859" s="28"/>
      <c r="Y1859" s="84">
        <f>SUM(Y1848:Y1858)/8</f>
        <v>99.131382232389797</v>
      </c>
      <c r="Z1859" s="84">
        <f>SUM(Z1848:Z1858)/8</f>
        <v>99.131382232389797</v>
      </c>
      <c r="AA1859" s="84">
        <f>SUM(AA1848:AA1858)</f>
        <v>706235980</v>
      </c>
      <c r="AB1859" s="84">
        <f>SUM(AB1848:AB1858)/8</f>
        <v>99.131382232389797</v>
      </c>
      <c r="AC1859" s="84">
        <f>SUM(AC1848:AC1858)</f>
        <v>706235980</v>
      </c>
      <c r="AD1859" s="84">
        <f>SUM(AD1848:AD1858)/8</f>
        <v>99.131382232389797</v>
      </c>
    </row>
    <row r="1860" spans="2:30" ht="18.75" customHeight="1">
      <c r="B1860" s="66"/>
      <c r="C1860" s="63" t="s">
        <v>1108</v>
      </c>
      <c r="D1860" s="64" t="s">
        <v>1109</v>
      </c>
      <c r="E1860" s="484"/>
      <c r="F1860" s="506">
        <v>6</v>
      </c>
      <c r="G1860" s="603" t="s">
        <v>1845</v>
      </c>
      <c r="H1860" s="606">
        <v>0</v>
      </c>
      <c r="I1860" s="603" t="s">
        <v>1845</v>
      </c>
      <c r="J1860" s="65"/>
      <c r="K1860" s="65"/>
      <c r="L1860" s="66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  <c r="W1860" s="63"/>
      <c r="X1860" s="63"/>
      <c r="Y1860" s="63"/>
      <c r="Z1860" s="63"/>
      <c r="AA1860" s="63"/>
      <c r="AB1860" s="63"/>
      <c r="AC1860" s="63"/>
      <c r="AD1860" s="63"/>
    </row>
    <row r="1861" spans="2:30" ht="27">
      <c r="B1861" s="13"/>
      <c r="C1861" s="86" t="s">
        <v>942</v>
      </c>
      <c r="D1861" s="86" t="s">
        <v>26</v>
      </c>
      <c r="E1861" s="204"/>
      <c r="F1861" s="204"/>
      <c r="G1861" s="498"/>
      <c r="H1861" s="602"/>
      <c r="I1861" s="242"/>
      <c r="J1861" s="209"/>
      <c r="K1861" s="209"/>
      <c r="L1861" s="13"/>
      <c r="M1861" s="17"/>
      <c r="N1861" s="17"/>
      <c r="O1861" s="17"/>
      <c r="P1861" s="17"/>
      <c r="Q1861" s="17"/>
      <c r="R1861" s="17"/>
      <c r="S1861" s="17"/>
      <c r="T1861" s="17"/>
      <c r="U1861" s="17"/>
      <c r="V1861" s="17"/>
      <c r="W1861" s="17"/>
      <c r="X1861" s="17"/>
      <c r="Y1861" s="17"/>
      <c r="Z1861" s="17"/>
      <c r="AA1861" s="17"/>
      <c r="AB1861" s="98"/>
      <c r="AC1861" s="17"/>
      <c r="AD1861" s="98"/>
    </row>
    <row r="1862" spans="2:30">
      <c r="B1862" s="13">
        <v>1</v>
      </c>
      <c r="C1862" s="74" t="s">
        <v>203</v>
      </c>
      <c r="D1862" s="74" t="s">
        <v>28</v>
      </c>
      <c r="E1862" s="204"/>
      <c r="F1862" s="528">
        <v>1</v>
      </c>
      <c r="G1862" s="604" t="s">
        <v>1845</v>
      </c>
      <c r="H1862" s="607">
        <v>0</v>
      </c>
      <c r="I1862" s="604" t="s">
        <v>1845</v>
      </c>
      <c r="J1862" s="15">
        <v>68170000</v>
      </c>
      <c r="K1862" s="99">
        <v>131760000</v>
      </c>
      <c r="L1862" s="13"/>
      <c r="M1862" s="17"/>
      <c r="N1862" s="17"/>
      <c r="O1862" s="17"/>
      <c r="P1862" s="17"/>
      <c r="Q1862" s="17"/>
      <c r="R1862" s="17"/>
      <c r="S1862" s="17"/>
      <c r="T1862" s="17"/>
      <c r="U1862" s="17"/>
      <c r="V1862" s="17"/>
      <c r="W1862" s="17"/>
      <c r="X1862" s="17"/>
      <c r="Y1862" s="98">
        <f>AB1862</f>
        <v>92.416317547055243</v>
      </c>
      <c r="Z1862" s="98">
        <f>AD1862</f>
        <v>92.416317547055243</v>
      </c>
      <c r="AA1862" s="22">
        <v>121767740</v>
      </c>
      <c r="AB1862" s="98">
        <f>AA1862/K1862*100</f>
        <v>92.416317547055243</v>
      </c>
      <c r="AC1862" s="20">
        <f>AA1862</f>
        <v>121767740</v>
      </c>
      <c r="AD1862" s="98">
        <f>AC1862/K1862*100</f>
        <v>92.416317547055243</v>
      </c>
    </row>
    <row r="1863" spans="2:30">
      <c r="B1863" s="13">
        <v>2</v>
      </c>
      <c r="C1863" s="74" t="s">
        <v>210</v>
      </c>
      <c r="D1863" s="74" t="s">
        <v>30</v>
      </c>
      <c r="E1863" s="204"/>
      <c r="F1863" s="528">
        <v>1</v>
      </c>
      <c r="G1863" s="604" t="s">
        <v>1845</v>
      </c>
      <c r="H1863" s="607">
        <v>0</v>
      </c>
      <c r="I1863" s="604" t="s">
        <v>1845</v>
      </c>
      <c r="J1863" s="15">
        <v>3800000</v>
      </c>
      <c r="K1863" s="99">
        <v>3800000</v>
      </c>
      <c r="L1863" s="13"/>
      <c r="M1863" s="17"/>
      <c r="N1863" s="17"/>
      <c r="O1863" s="17"/>
      <c r="P1863" s="17"/>
      <c r="Q1863" s="17"/>
      <c r="R1863" s="17"/>
      <c r="S1863" s="17"/>
      <c r="T1863" s="17"/>
      <c r="U1863" s="17"/>
      <c r="V1863" s="17"/>
      <c r="W1863" s="17"/>
      <c r="X1863" s="17"/>
      <c r="Y1863" s="98">
        <f t="shared" ref="Y1863:Y1866" si="582">AB1863</f>
        <v>100</v>
      </c>
      <c r="Z1863" s="98">
        <f t="shared" ref="Z1863:Z1866" si="583">AD1863</f>
        <v>100</v>
      </c>
      <c r="AA1863" s="22">
        <v>3800000</v>
      </c>
      <c r="AB1863" s="98">
        <f t="shared" ref="AB1863:AB1868" si="584">AA1863/K1863*100</f>
        <v>100</v>
      </c>
      <c r="AC1863" s="20">
        <f t="shared" ref="AC1863:AC1868" si="585">AA1863</f>
        <v>3800000</v>
      </c>
      <c r="AD1863" s="98">
        <f t="shared" ref="AD1863:AD1868" si="586">AC1863/K1863*100</f>
        <v>100</v>
      </c>
    </row>
    <row r="1864" spans="2:30">
      <c r="B1864" s="13">
        <v>3</v>
      </c>
      <c r="C1864" s="74" t="s">
        <v>204</v>
      </c>
      <c r="D1864" s="74" t="s">
        <v>32</v>
      </c>
      <c r="E1864" s="204"/>
      <c r="F1864" s="528">
        <v>1</v>
      </c>
      <c r="G1864" s="604" t="s">
        <v>1845</v>
      </c>
      <c r="H1864" s="607">
        <v>0</v>
      </c>
      <c r="I1864" s="604" t="s">
        <v>1845</v>
      </c>
      <c r="J1864" s="15">
        <v>65573000</v>
      </c>
      <c r="K1864" s="99">
        <v>65573000</v>
      </c>
      <c r="L1864" s="13"/>
      <c r="M1864" s="17"/>
      <c r="N1864" s="17"/>
      <c r="O1864" s="17"/>
      <c r="P1864" s="17"/>
      <c r="Q1864" s="17"/>
      <c r="R1864" s="17"/>
      <c r="S1864" s="17"/>
      <c r="T1864" s="17"/>
      <c r="U1864" s="17"/>
      <c r="V1864" s="17"/>
      <c r="W1864" s="17"/>
      <c r="X1864" s="17"/>
      <c r="Y1864" s="98">
        <f t="shared" si="582"/>
        <v>98.908087170024245</v>
      </c>
      <c r="Z1864" s="98">
        <f t="shared" si="583"/>
        <v>98.908087170024245</v>
      </c>
      <c r="AA1864" s="22">
        <v>64857000</v>
      </c>
      <c r="AB1864" s="98">
        <f t="shared" si="584"/>
        <v>98.908087170024245</v>
      </c>
      <c r="AC1864" s="20">
        <f t="shared" si="585"/>
        <v>64857000</v>
      </c>
      <c r="AD1864" s="98">
        <f t="shared" si="586"/>
        <v>98.908087170024245</v>
      </c>
    </row>
    <row r="1865" spans="2:30">
      <c r="B1865" s="13">
        <v>4</v>
      </c>
      <c r="C1865" s="74" t="s">
        <v>205</v>
      </c>
      <c r="D1865" s="74" t="s">
        <v>34</v>
      </c>
      <c r="E1865" s="204"/>
      <c r="F1865" s="528">
        <v>1</v>
      </c>
      <c r="G1865" s="604" t="s">
        <v>1845</v>
      </c>
      <c r="H1865" s="607">
        <v>0</v>
      </c>
      <c r="I1865" s="604" t="s">
        <v>1845</v>
      </c>
      <c r="J1865" s="15">
        <v>25700000</v>
      </c>
      <c r="K1865" s="99">
        <v>83200000</v>
      </c>
      <c r="L1865" s="13"/>
      <c r="M1865" s="17"/>
      <c r="N1865" s="17"/>
      <c r="O1865" s="17"/>
      <c r="P1865" s="17"/>
      <c r="Q1865" s="17"/>
      <c r="R1865" s="17"/>
      <c r="S1865" s="17"/>
      <c r="T1865" s="17"/>
      <c r="U1865" s="17"/>
      <c r="V1865" s="17"/>
      <c r="W1865" s="17"/>
      <c r="X1865" s="17"/>
      <c r="Y1865" s="98">
        <f t="shared" si="582"/>
        <v>97.956730769230774</v>
      </c>
      <c r="Z1865" s="98">
        <f t="shared" si="583"/>
        <v>97.956730769230774</v>
      </c>
      <c r="AA1865" s="22">
        <v>81500000</v>
      </c>
      <c r="AB1865" s="98">
        <f t="shared" si="584"/>
        <v>97.956730769230774</v>
      </c>
      <c r="AC1865" s="20">
        <f t="shared" si="585"/>
        <v>81500000</v>
      </c>
      <c r="AD1865" s="98">
        <f t="shared" si="586"/>
        <v>97.956730769230774</v>
      </c>
    </row>
    <row r="1866" spans="2:30" ht="25.5">
      <c r="B1866" s="13">
        <v>5</v>
      </c>
      <c r="C1866" s="123" t="s">
        <v>216</v>
      </c>
      <c r="D1866" s="21" t="s">
        <v>38</v>
      </c>
      <c r="E1866" s="204"/>
      <c r="F1866" s="528">
        <v>1</v>
      </c>
      <c r="G1866" s="604" t="s">
        <v>1845</v>
      </c>
      <c r="H1866" s="607">
        <v>0</v>
      </c>
      <c r="I1866" s="604" t="s">
        <v>1845</v>
      </c>
      <c r="J1866" s="15">
        <v>4000000</v>
      </c>
      <c r="K1866" s="99">
        <v>4000000</v>
      </c>
      <c r="L1866" s="13"/>
      <c r="M1866" s="17"/>
      <c r="N1866" s="17"/>
      <c r="O1866" s="17"/>
      <c r="P1866" s="17"/>
      <c r="Q1866" s="17"/>
      <c r="R1866" s="17"/>
      <c r="S1866" s="17"/>
      <c r="T1866" s="17"/>
      <c r="U1866" s="17"/>
      <c r="V1866" s="17"/>
      <c r="W1866" s="17"/>
      <c r="X1866" s="17"/>
      <c r="Y1866" s="98">
        <f t="shared" si="582"/>
        <v>100</v>
      </c>
      <c r="Z1866" s="98">
        <f t="shared" si="583"/>
        <v>100</v>
      </c>
      <c r="AA1866" s="22">
        <v>4000000</v>
      </c>
      <c r="AB1866" s="98">
        <f t="shared" si="584"/>
        <v>100</v>
      </c>
      <c r="AC1866" s="20">
        <f t="shared" si="585"/>
        <v>4000000</v>
      </c>
      <c r="AD1866" s="98">
        <f t="shared" si="586"/>
        <v>100</v>
      </c>
    </row>
    <row r="1867" spans="2:30" ht="16.5">
      <c r="B1867" s="13"/>
      <c r="C1867" s="86" t="s">
        <v>1104</v>
      </c>
      <c r="D1867" s="86" t="s">
        <v>1105</v>
      </c>
      <c r="E1867" s="204"/>
      <c r="F1867" s="528"/>
      <c r="G1867" s="604"/>
      <c r="H1867" s="607"/>
      <c r="I1867" s="604"/>
      <c r="J1867" s="209"/>
      <c r="K1867" s="209"/>
      <c r="L1867" s="13" t="s">
        <v>1</v>
      </c>
      <c r="M1867" s="17"/>
      <c r="N1867" s="17"/>
      <c r="O1867" s="17"/>
      <c r="P1867" s="17"/>
      <c r="Q1867" s="17"/>
      <c r="R1867" s="17"/>
      <c r="S1867" s="17"/>
      <c r="T1867" s="17" t="s">
        <v>1</v>
      </c>
      <c r="U1867" s="17"/>
      <c r="V1867" s="17"/>
      <c r="W1867" s="17"/>
      <c r="X1867" s="17"/>
      <c r="Y1867" s="98"/>
      <c r="Z1867" s="98"/>
      <c r="AA1867" s="22" t="s">
        <v>1</v>
      </c>
      <c r="AB1867" s="98"/>
      <c r="AC1867" s="20"/>
      <c r="AD1867" s="98"/>
    </row>
    <row r="1868" spans="2:30">
      <c r="B1868" s="13">
        <v>6</v>
      </c>
      <c r="C1868" s="74" t="s">
        <v>306</v>
      </c>
      <c r="D1868" s="74" t="s">
        <v>1106</v>
      </c>
      <c r="E1868" s="204"/>
      <c r="F1868" s="608">
        <v>1</v>
      </c>
      <c r="G1868" s="609" t="s">
        <v>1845</v>
      </c>
      <c r="H1868" s="607">
        <v>0</v>
      </c>
      <c r="I1868" s="605" t="s">
        <v>1845</v>
      </c>
      <c r="J1868" s="15">
        <v>50932000</v>
      </c>
      <c r="K1868" s="99">
        <v>64432000</v>
      </c>
      <c r="L1868" s="13"/>
      <c r="M1868" s="17"/>
      <c r="N1868" s="17"/>
      <c r="O1868" s="17"/>
      <c r="P1868" s="17"/>
      <c r="Q1868" s="17"/>
      <c r="R1868" s="17"/>
      <c r="S1868" s="17"/>
      <c r="T1868" s="17"/>
      <c r="U1868" s="17"/>
      <c r="V1868" s="17"/>
      <c r="W1868" s="17"/>
      <c r="X1868" s="17"/>
      <c r="Y1868" s="98">
        <f t="shared" ref="Y1868" si="587">AB1868</f>
        <v>99.303917308169858</v>
      </c>
      <c r="Z1868" s="98">
        <f t="shared" ref="Z1868" si="588">AD1868</f>
        <v>99.303917308169858</v>
      </c>
      <c r="AA1868" s="22">
        <v>63983500</v>
      </c>
      <c r="AB1868" s="98">
        <f t="shared" si="584"/>
        <v>99.303917308169858</v>
      </c>
      <c r="AC1868" s="20">
        <f t="shared" si="585"/>
        <v>63983500</v>
      </c>
      <c r="AD1868" s="98">
        <f t="shared" si="586"/>
        <v>99.303917308169858</v>
      </c>
    </row>
    <row r="1869" spans="2:30">
      <c r="B1869" s="37">
        <v>136</v>
      </c>
      <c r="C1869" s="855" t="s">
        <v>1110</v>
      </c>
      <c r="D1869" s="855"/>
      <c r="E1869" s="483"/>
      <c r="F1869" s="483">
        <f>SUM(F1862:F1868)</f>
        <v>6</v>
      </c>
      <c r="G1869" s="610" t="s">
        <v>1845</v>
      </c>
      <c r="H1869" s="483">
        <f>SUM(H1862:H1868)</f>
        <v>0</v>
      </c>
      <c r="I1869" s="610" t="s">
        <v>1845</v>
      </c>
      <c r="J1869" s="208">
        <f>SUM(J1862:J1868)</f>
        <v>218175000</v>
      </c>
      <c r="K1869" s="208">
        <f>SUM(K1862:K1868)</f>
        <v>352765000</v>
      </c>
      <c r="L1869" s="37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  <c r="X1869" s="38"/>
      <c r="Y1869" s="84">
        <f>SUM(Y1862:Y1868)/6</f>
        <v>98.097508799080018</v>
      </c>
      <c r="Z1869" s="84">
        <f>SUM(Z1862:Z1868)/6</f>
        <v>98.097508799080018</v>
      </c>
      <c r="AA1869" s="67">
        <f>SUM(AA1861:AA1868)</f>
        <v>339908240</v>
      </c>
      <c r="AB1869" s="84">
        <f>SUM(AB1862:AB1868)/6</f>
        <v>98.097508799080018</v>
      </c>
      <c r="AC1869" s="67">
        <f>SUM(AC1861:AC1868)</f>
        <v>339908240</v>
      </c>
      <c r="AD1869" s="84">
        <f>SUM(AD1862:AD1868)/6</f>
        <v>98.097508799080018</v>
      </c>
    </row>
    <row r="1870" spans="2:30">
      <c r="B1870" s="66"/>
      <c r="C1870" s="63" t="s">
        <v>1111</v>
      </c>
      <c r="D1870" s="64" t="s">
        <v>1112</v>
      </c>
      <c r="E1870" s="484"/>
      <c r="F1870" s="536"/>
      <c r="G1870" s="535"/>
      <c r="H1870" s="536">
        <v>0</v>
      </c>
      <c r="I1870" s="535" t="s">
        <v>1845</v>
      </c>
      <c r="J1870" s="65"/>
      <c r="K1870" s="65"/>
      <c r="L1870" s="66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  <c r="W1870" s="63"/>
      <c r="X1870" s="63"/>
      <c r="Y1870" s="63"/>
      <c r="Z1870" s="63"/>
      <c r="AA1870" s="63"/>
      <c r="AB1870" s="63"/>
      <c r="AC1870" s="63"/>
      <c r="AD1870" s="63"/>
    </row>
    <row r="1871" spans="2:30" ht="25.5">
      <c r="B1871" s="66">
        <v>1</v>
      </c>
      <c r="C1871" s="63">
        <v>21.46</v>
      </c>
      <c r="D1871" s="75" t="s">
        <v>2340</v>
      </c>
      <c r="E1871" s="484"/>
      <c r="F1871" s="563"/>
      <c r="G1871" s="535"/>
      <c r="H1871" s="564"/>
      <c r="I1871" s="564"/>
      <c r="J1871" s="65"/>
      <c r="K1871" s="99">
        <v>70000000</v>
      </c>
      <c r="L1871" s="66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  <c r="W1871" s="63"/>
      <c r="X1871" s="63"/>
      <c r="Y1871" s="134">
        <f>AB1871</f>
        <v>99.628571428571433</v>
      </c>
      <c r="Z1871" s="134">
        <f>AD1871</f>
        <v>99.628571428571433</v>
      </c>
      <c r="AA1871" s="135">
        <v>69740000</v>
      </c>
      <c r="AB1871" s="136">
        <f>AA1871/K1871*100</f>
        <v>99.628571428571433</v>
      </c>
      <c r="AC1871" s="137">
        <f>AA1871</f>
        <v>69740000</v>
      </c>
      <c r="AD1871" s="98">
        <f>AC1871/K1871*100</f>
        <v>99.628571428571433</v>
      </c>
    </row>
    <row r="1872" spans="2:30" ht="27">
      <c r="B1872" s="13"/>
      <c r="C1872" s="86" t="s">
        <v>942</v>
      </c>
      <c r="D1872" s="86" t="s">
        <v>26</v>
      </c>
      <c r="E1872" s="485"/>
      <c r="F1872" s="485"/>
      <c r="G1872" s="441"/>
      <c r="H1872" s="87"/>
      <c r="I1872" s="87"/>
      <c r="J1872" s="209"/>
      <c r="K1872" s="16"/>
      <c r="L1872" s="13"/>
      <c r="M1872" s="17"/>
      <c r="N1872" s="17"/>
      <c r="O1872" s="17"/>
      <c r="P1872" s="17"/>
      <c r="Q1872" s="17"/>
      <c r="R1872" s="17"/>
      <c r="S1872" s="17"/>
      <c r="T1872" s="17"/>
      <c r="U1872" s="17"/>
      <c r="V1872" s="17"/>
      <c r="W1872" s="17"/>
      <c r="X1872" s="17"/>
      <c r="Y1872" s="134"/>
      <c r="Z1872" s="134"/>
      <c r="AA1872" s="17" t="s">
        <v>1</v>
      </c>
      <c r="AB1872" s="17"/>
      <c r="AC1872" s="17" t="s">
        <v>1</v>
      </c>
      <c r="AD1872" s="17"/>
    </row>
    <row r="1873" spans="2:30" ht="21" customHeight="1">
      <c r="B1873" s="13">
        <v>2</v>
      </c>
      <c r="C1873" s="74" t="s">
        <v>203</v>
      </c>
      <c r="D1873" s="74" t="s">
        <v>28</v>
      </c>
      <c r="E1873" s="204"/>
      <c r="F1873" s="204">
        <v>1</v>
      </c>
      <c r="G1873" s="535" t="s">
        <v>1845</v>
      </c>
      <c r="H1873" s="613">
        <v>0</v>
      </c>
      <c r="I1873" s="535" t="s">
        <v>1845</v>
      </c>
      <c r="J1873" s="15">
        <v>58253000</v>
      </c>
      <c r="K1873" s="99">
        <v>131786000</v>
      </c>
      <c r="L1873" s="13"/>
      <c r="M1873" s="17"/>
      <c r="N1873" s="17"/>
      <c r="O1873" s="17"/>
      <c r="P1873" s="17"/>
      <c r="Q1873" s="17"/>
      <c r="R1873" s="17"/>
      <c r="S1873" s="17"/>
      <c r="T1873" s="17"/>
      <c r="U1873" s="17"/>
      <c r="V1873" s="17"/>
      <c r="W1873" s="17"/>
      <c r="X1873" s="17"/>
      <c r="Y1873" s="134">
        <f t="shared" ref="Y1873:Y1879" si="589">AB1873</f>
        <v>95.697225805472513</v>
      </c>
      <c r="Z1873" s="134">
        <f t="shared" ref="Z1873:Z1879" si="590">AD1873</f>
        <v>95.697225805472513</v>
      </c>
      <c r="AA1873" s="22">
        <v>126115546</v>
      </c>
      <c r="AB1873" s="98">
        <f>AA1873/K1873*100</f>
        <v>95.697225805472513</v>
      </c>
      <c r="AC1873" s="20">
        <f>AA1873</f>
        <v>126115546</v>
      </c>
      <c r="AD1873" s="98">
        <f>AC1873/K1873*100</f>
        <v>95.697225805472513</v>
      </c>
    </row>
    <row r="1874" spans="2:30" ht="21" customHeight="1">
      <c r="B1874" s="13">
        <v>3</v>
      </c>
      <c r="C1874" s="74" t="s">
        <v>210</v>
      </c>
      <c r="D1874" s="74" t="s">
        <v>30</v>
      </c>
      <c r="E1874" s="204"/>
      <c r="F1874" s="204">
        <v>1</v>
      </c>
      <c r="G1874" s="535" t="s">
        <v>1845</v>
      </c>
      <c r="H1874" s="613">
        <v>0</v>
      </c>
      <c r="I1874" s="535" t="s">
        <v>1845</v>
      </c>
      <c r="J1874" s="15">
        <v>12500000</v>
      </c>
      <c r="K1874" s="99">
        <v>15895000</v>
      </c>
      <c r="L1874" s="13"/>
      <c r="M1874" s="17"/>
      <c r="N1874" s="17"/>
      <c r="O1874" s="17"/>
      <c r="P1874" s="17"/>
      <c r="Q1874" s="17"/>
      <c r="R1874" s="17"/>
      <c r="S1874" s="17"/>
      <c r="T1874" s="17"/>
      <c r="U1874" s="17"/>
      <c r="V1874" s="17"/>
      <c r="W1874" s="17"/>
      <c r="X1874" s="17"/>
      <c r="Y1874" s="134">
        <f t="shared" si="589"/>
        <v>99.213589178987107</v>
      </c>
      <c r="Z1874" s="134">
        <f t="shared" si="590"/>
        <v>99.213589178987107</v>
      </c>
      <c r="AA1874" s="22">
        <v>15770000</v>
      </c>
      <c r="AB1874" s="98">
        <f t="shared" ref="AB1874:AB1877" si="591">AA1874/K1874*100</f>
        <v>99.213589178987107</v>
      </c>
      <c r="AC1874" s="20">
        <f t="shared" ref="AC1874:AC1878" si="592">AA1874</f>
        <v>15770000</v>
      </c>
      <c r="AD1874" s="98">
        <f t="shared" ref="AD1874:AD1879" si="593">AC1874/K1874*100</f>
        <v>99.213589178987107</v>
      </c>
    </row>
    <row r="1875" spans="2:30" ht="21" customHeight="1">
      <c r="B1875" s="13">
        <v>4</v>
      </c>
      <c r="C1875" s="74" t="s">
        <v>204</v>
      </c>
      <c r="D1875" s="74" t="s">
        <v>32</v>
      </c>
      <c r="E1875" s="204"/>
      <c r="F1875" s="204">
        <v>1</v>
      </c>
      <c r="G1875" s="535" t="s">
        <v>1845</v>
      </c>
      <c r="H1875" s="613">
        <v>0</v>
      </c>
      <c r="I1875" s="535" t="s">
        <v>1845</v>
      </c>
      <c r="J1875" s="15">
        <v>91785000</v>
      </c>
      <c r="K1875" s="99">
        <v>89097000</v>
      </c>
      <c r="L1875" s="13"/>
      <c r="M1875" s="17"/>
      <c r="N1875" s="17"/>
      <c r="O1875" s="17"/>
      <c r="P1875" s="17"/>
      <c r="Q1875" s="17"/>
      <c r="R1875" s="17"/>
      <c r="S1875" s="17"/>
      <c r="T1875" s="17"/>
      <c r="U1875" s="17"/>
      <c r="V1875" s="17"/>
      <c r="W1875" s="17"/>
      <c r="X1875" s="17"/>
      <c r="Y1875" s="134">
        <f t="shared" si="589"/>
        <v>99.785262130038049</v>
      </c>
      <c r="Z1875" s="134">
        <f t="shared" si="590"/>
        <v>99.785262130038049</v>
      </c>
      <c r="AA1875" s="22">
        <v>88905675</v>
      </c>
      <c r="AB1875" s="98">
        <f t="shared" si="591"/>
        <v>99.785262130038049</v>
      </c>
      <c r="AC1875" s="20">
        <f t="shared" si="592"/>
        <v>88905675</v>
      </c>
      <c r="AD1875" s="98">
        <f t="shared" si="593"/>
        <v>99.785262130038049</v>
      </c>
    </row>
    <row r="1876" spans="2:30" ht="18" customHeight="1">
      <c r="B1876" s="13">
        <v>5</v>
      </c>
      <c r="C1876" s="74" t="s">
        <v>205</v>
      </c>
      <c r="D1876" s="74" t="s">
        <v>34</v>
      </c>
      <c r="E1876" s="204"/>
      <c r="F1876" s="204">
        <v>1</v>
      </c>
      <c r="G1876" s="535" t="s">
        <v>1845</v>
      </c>
      <c r="H1876" s="613">
        <v>0</v>
      </c>
      <c r="I1876" s="535" t="s">
        <v>1845</v>
      </c>
      <c r="J1876" s="15">
        <v>29500000</v>
      </c>
      <c r="K1876" s="99">
        <v>39175000</v>
      </c>
      <c r="L1876" s="13"/>
      <c r="M1876" s="17"/>
      <c r="N1876" s="17"/>
      <c r="O1876" s="17"/>
      <c r="P1876" s="17"/>
      <c r="Q1876" s="17"/>
      <c r="R1876" s="17"/>
      <c r="S1876" s="17"/>
      <c r="T1876" s="17"/>
      <c r="U1876" s="17"/>
      <c r="V1876" s="17"/>
      <c r="W1876" s="17"/>
      <c r="X1876" s="17"/>
      <c r="Y1876" s="134">
        <f t="shared" si="589"/>
        <v>100</v>
      </c>
      <c r="Z1876" s="134">
        <f t="shared" si="590"/>
        <v>100</v>
      </c>
      <c r="AA1876" s="22">
        <v>39175000</v>
      </c>
      <c r="AB1876" s="98">
        <f t="shared" si="591"/>
        <v>100</v>
      </c>
      <c r="AC1876" s="20">
        <f t="shared" si="592"/>
        <v>39175000</v>
      </c>
      <c r="AD1876" s="98">
        <f t="shared" si="593"/>
        <v>100</v>
      </c>
    </row>
    <row r="1877" spans="2:30" ht="31.5" customHeight="1">
      <c r="B1877" s="13">
        <v>6</v>
      </c>
      <c r="C1877" s="123" t="s">
        <v>216</v>
      </c>
      <c r="D1877" s="21" t="s">
        <v>38</v>
      </c>
      <c r="E1877" s="204"/>
      <c r="F1877" s="204">
        <v>1</v>
      </c>
      <c r="G1877" s="535" t="s">
        <v>1845</v>
      </c>
      <c r="H1877" s="613">
        <v>0</v>
      </c>
      <c r="I1877" s="535" t="s">
        <v>1845</v>
      </c>
      <c r="J1877" s="15">
        <v>4000000</v>
      </c>
      <c r="K1877" s="99">
        <v>4000000</v>
      </c>
      <c r="L1877" s="13"/>
      <c r="M1877" s="17"/>
      <c r="N1877" s="17"/>
      <c r="O1877" s="17"/>
      <c r="P1877" s="17"/>
      <c r="Q1877" s="17"/>
      <c r="R1877" s="17"/>
      <c r="S1877" s="17"/>
      <c r="T1877" s="17"/>
      <c r="U1877" s="17"/>
      <c r="V1877" s="17"/>
      <c r="W1877" s="17"/>
      <c r="X1877" s="17"/>
      <c r="Y1877" s="134">
        <f t="shared" si="589"/>
        <v>100</v>
      </c>
      <c r="Z1877" s="134">
        <f t="shared" si="590"/>
        <v>100</v>
      </c>
      <c r="AA1877" s="22">
        <v>4000000</v>
      </c>
      <c r="AB1877" s="98">
        <f t="shared" si="591"/>
        <v>100</v>
      </c>
      <c r="AC1877" s="20">
        <f>AA1877</f>
        <v>4000000</v>
      </c>
      <c r="AD1877" s="20">
        <f t="shared" si="593"/>
        <v>100</v>
      </c>
    </row>
    <row r="1878" spans="2:30" ht="18.75" customHeight="1">
      <c r="B1878" s="13"/>
      <c r="C1878" s="86" t="s">
        <v>1104</v>
      </c>
      <c r="D1878" s="86" t="s">
        <v>1105</v>
      </c>
      <c r="E1878" s="485"/>
      <c r="F1878" s="204"/>
      <c r="G1878" s="535"/>
      <c r="H1878" s="613"/>
      <c r="I1878" s="535"/>
      <c r="J1878" s="15"/>
      <c r="K1878" s="16"/>
      <c r="L1878" s="107"/>
      <c r="M1878" s="17"/>
      <c r="N1878" s="17"/>
      <c r="O1878" s="17"/>
      <c r="P1878" s="17"/>
      <c r="Q1878" s="17"/>
      <c r="R1878" s="17"/>
      <c r="S1878" s="17"/>
      <c r="T1878" s="17"/>
      <c r="U1878" s="17"/>
      <c r="V1878" s="17"/>
      <c r="W1878" s="17"/>
      <c r="X1878" s="17"/>
      <c r="Y1878" s="134"/>
      <c r="Z1878" s="134"/>
      <c r="AA1878" s="22"/>
      <c r="AB1878" s="98"/>
      <c r="AC1878" s="20">
        <f t="shared" si="592"/>
        <v>0</v>
      </c>
      <c r="AD1878" s="98"/>
    </row>
    <row r="1879" spans="2:30" ht="18.75" customHeight="1">
      <c r="B1879" s="13">
        <v>7</v>
      </c>
      <c r="C1879" s="74" t="s">
        <v>306</v>
      </c>
      <c r="D1879" s="74" t="s">
        <v>1106</v>
      </c>
      <c r="E1879" s="204"/>
      <c r="F1879" s="204">
        <v>1</v>
      </c>
      <c r="G1879" s="535" t="s">
        <v>1845</v>
      </c>
      <c r="H1879" s="613">
        <v>0</v>
      </c>
      <c r="I1879" s="535" t="s">
        <v>1845</v>
      </c>
      <c r="J1879" s="15">
        <v>46704000</v>
      </c>
      <c r="K1879" s="99">
        <v>59999000</v>
      </c>
      <c r="L1879" s="107"/>
      <c r="M1879" s="17"/>
      <c r="N1879" s="17"/>
      <c r="O1879" s="17"/>
      <c r="P1879" s="17"/>
      <c r="Q1879" s="17"/>
      <c r="R1879" s="17"/>
      <c r="S1879" s="17"/>
      <c r="T1879" s="17"/>
      <c r="U1879" s="17"/>
      <c r="V1879" s="17"/>
      <c r="W1879" s="17"/>
      <c r="X1879" s="17"/>
      <c r="Y1879" s="134">
        <f t="shared" si="589"/>
        <v>99.949999166652788</v>
      </c>
      <c r="Z1879" s="134">
        <f t="shared" si="590"/>
        <v>76.33910565176086</v>
      </c>
      <c r="AA1879" s="22">
        <v>59969000</v>
      </c>
      <c r="AB1879" s="98">
        <f>AA1879/K1879*100</f>
        <v>99.949999166652788</v>
      </c>
      <c r="AC1879" s="20">
        <v>45802700</v>
      </c>
      <c r="AD1879" s="98">
        <f t="shared" si="593"/>
        <v>76.33910565176086</v>
      </c>
    </row>
    <row r="1880" spans="2:30">
      <c r="B1880" s="37">
        <v>137</v>
      </c>
      <c r="C1880" s="855" t="s">
        <v>1113</v>
      </c>
      <c r="D1880" s="855"/>
      <c r="E1880" s="483"/>
      <c r="F1880" s="483">
        <v>7</v>
      </c>
      <c r="G1880" s="521" t="s">
        <v>1845</v>
      </c>
      <c r="H1880" s="548">
        <f>SUM(H1873:H1879)</f>
        <v>0</v>
      </c>
      <c r="I1880" s="521" t="s">
        <v>1845</v>
      </c>
      <c r="J1880" s="208">
        <f>SUM(J1873:J1879)</f>
        <v>242742000</v>
      </c>
      <c r="K1880" s="208">
        <f>SUM(K1871:K1879)</f>
        <v>409952000</v>
      </c>
      <c r="L1880" s="37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  <c r="X1880" s="38"/>
      <c r="Y1880" s="84">
        <f>SUM(Y1873:Y1879)/7</f>
        <v>84.94943946873579</v>
      </c>
      <c r="Z1880" s="84">
        <f>SUM(Z1873:Z1879)/7</f>
        <v>81.576454680894059</v>
      </c>
      <c r="AA1880" s="68">
        <f>SUM(AA1873:AA1879)</f>
        <v>333935221</v>
      </c>
      <c r="AB1880" s="84">
        <f>SUM(AB1873:AB1879)/7</f>
        <v>84.94943946873579</v>
      </c>
      <c r="AC1880" s="68">
        <f>SUM(AC1871:AC1879)</f>
        <v>389508921</v>
      </c>
      <c r="AD1880" s="84">
        <f>SUM(AD1873:AD1879)/7</f>
        <v>81.576454680894059</v>
      </c>
    </row>
    <row r="1881" spans="2:30">
      <c r="B1881" s="66"/>
      <c r="C1881" s="63" t="s">
        <v>1114</v>
      </c>
      <c r="D1881" s="64" t="s">
        <v>1115</v>
      </c>
      <c r="E1881" s="484"/>
      <c r="F1881" s="549">
        <v>6</v>
      </c>
      <c r="G1881" s="552" t="s">
        <v>1845</v>
      </c>
      <c r="H1881" s="601">
        <v>0</v>
      </c>
      <c r="I1881" s="552" t="s">
        <v>1845</v>
      </c>
      <c r="J1881" s="65"/>
      <c r="K1881" s="65"/>
      <c r="L1881" s="66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  <c r="W1881" s="63"/>
      <c r="X1881" s="63"/>
      <c r="Y1881" s="63"/>
      <c r="Z1881" s="63"/>
      <c r="AA1881" s="63"/>
      <c r="AB1881" s="63"/>
      <c r="AC1881" s="63"/>
      <c r="AD1881" s="63"/>
    </row>
    <row r="1882" spans="2:30" ht="27">
      <c r="B1882" s="13"/>
      <c r="C1882" s="86" t="s">
        <v>942</v>
      </c>
      <c r="D1882" s="86" t="s">
        <v>26</v>
      </c>
      <c r="E1882" s="485"/>
      <c r="F1882" s="485"/>
      <c r="G1882" s="441"/>
      <c r="H1882" s="547"/>
      <c r="I1882" s="87"/>
      <c r="J1882" s="209"/>
      <c r="K1882" s="16"/>
      <c r="L1882" s="13"/>
      <c r="M1882" s="17"/>
      <c r="N1882" s="17"/>
      <c r="O1882" s="17"/>
      <c r="P1882" s="17"/>
      <c r="Q1882" s="17"/>
      <c r="R1882" s="17"/>
      <c r="S1882" s="17"/>
      <c r="T1882" s="17"/>
      <c r="U1882" s="17"/>
      <c r="V1882" s="17"/>
      <c r="W1882" s="17"/>
      <c r="X1882" s="17"/>
      <c r="Y1882" s="17"/>
      <c r="Z1882" s="17"/>
      <c r="AA1882" s="17"/>
      <c r="AB1882" s="17"/>
      <c r="AC1882" s="17"/>
      <c r="AD1882" s="17"/>
    </row>
    <row r="1883" spans="2:30">
      <c r="B1883" s="13">
        <v>1</v>
      </c>
      <c r="C1883" s="74" t="s">
        <v>203</v>
      </c>
      <c r="D1883" s="74" t="s">
        <v>28</v>
      </c>
      <c r="E1883" s="204"/>
      <c r="F1883" s="204">
        <v>1</v>
      </c>
      <c r="G1883" s="552" t="s">
        <v>1845</v>
      </c>
      <c r="H1883" s="613">
        <v>0</v>
      </c>
      <c r="I1883" s="552" t="s">
        <v>1845</v>
      </c>
      <c r="J1883" s="15">
        <v>73893000</v>
      </c>
      <c r="K1883" s="99">
        <v>154379000</v>
      </c>
      <c r="L1883" s="13"/>
      <c r="M1883" s="17"/>
      <c r="N1883" s="17"/>
      <c r="O1883" s="17"/>
      <c r="P1883" s="17"/>
      <c r="Q1883" s="17"/>
      <c r="R1883" s="17"/>
      <c r="S1883" s="17"/>
      <c r="T1883" s="17"/>
      <c r="U1883" s="17"/>
      <c r="V1883" s="17"/>
      <c r="W1883" s="17"/>
      <c r="X1883" s="17"/>
      <c r="Y1883" s="98">
        <v>95</v>
      </c>
      <c r="Z1883" s="98">
        <v>96</v>
      </c>
      <c r="AA1883" s="22">
        <v>147839674</v>
      </c>
      <c r="AB1883" s="98">
        <f>AA1883/K1883*100</f>
        <v>95.76410910810408</v>
      </c>
      <c r="AC1883" s="20">
        <f>AA1883</f>
        <v>147839674</v>
      </c>
      <c r="AD1883" s="98">
        <f>AC1883/K1883*100</f>
        <v>95.76410910810408</v>
      </c>
    </row>
    <row r="1884" spans="2:30">
      <c r="B1884" s="13">
        <v>2</v>
      </c>
      <c r="C1884" s="74" t="s">
        <v>210</v>
      </c>
      <c r="D1884" s="74" t="s">
        <v>30</v>
      </c>
      <c r="E1884" s="204"/>
      <c r="F1884" s="204">
        <v>1</v>
      </c>
      <c r="G1884" s="552" t="s">
        <v>1845</v>
      </c>
      <c r="H1884" s="613">
        <v>0</v>
      </c>
      <c r="I1884" s="552" t="s">
        <v>1845</v>
      </c>
      <c r="J1884" s="15">
        <v>2830000</v>
      </c>
      <c r="K1884" s="99">
        <v>3510000</v>
      </c>
      <c r="L1884" s="13"/>
      <c r="M1884" s="17"/>
      <c r="N1884" s="17"/>
      <c r="O1884" s="17"/>
      <c r="P1884" s="17"/>
      <c r="Q1884" s="17"/>
      <c r="R1884" s="17"/>
      <c r="S1884" s="17"/>
      <c r="T1884" s="17"/>
      <c r="U1884" s="17"/>
      <c r="V1884" s="17"/>
      <c r="W1884" s="17"/>
      <c r="X1884" s="17"/>
      <c r="Y1884" s="98">
        <v>90</v>
      </c>
      <c r="Z1884" s="98">
        <v>92</v>
      </c>
      <c r="AA1884" s="22">
        <v>3245000</v>
      </c>
      <c r="AB1884" s="98">
        <f t="shared" ref="AB1884:AB1889" si="594">AA1884/K1884*100</f>
        <v>92.450142450142451</v>
      </c>
      <c r="AC1884" s="20">
        <f t="shared" ref="AC1884:AC1889" si="595">AA1884</f>
        <v>3245000</v>
      </c>
      <c r="AD1884" s="98">
        <f t="shared" ref="AD1884:AD1889" si="596">AC1884/K1884*100</f>
        <v>92.450142450142451</v>
      </c>
    </row>
    <row r="1885" spans="2:30" ht="19.5" customHeight="1">
      <c r="B1885" s="13">
        <v>3</v>
      </c>
      <c r="C1885" s="74" t="s">
        <v>204</v>
      </c>
      <c r="D1885" s="74" t="s">
        <v>32</v>
      </c>
      <c r="E1885" s="204"/>
      <c r="F1885" s="204">
        <v>1</v>
      </c>
      <c r="G1885" s="552" t="s">
        <v>1845</v>
      </c>
      <c r="H1885" s="613">
        <v>0</v>
      </c>
      <c r="I1885" s="552" t="s">
        <v>1845</v>
      </c>
      <c r="J1885" s="15">
        <v>82990000</v>
      </c>
      <c r="K1885" s="99">
        <v>86161000</v>
      </c>
      <c r="L1885" s="13"/>
      <c r="M1885" s="17"/>
      <c r="N1885" s="17"/>
      <c r="O1885" s="17"/>
      <c r="P1885" s="17"/>
      <c r="Q1885" s="17"/>
      <c r="R1885" s="17"/>
      <c r="S1885" s="17"/>
      <c r="T1885" s="17"/>
      <c r="U1885" s="17"/>
      <c r="V1885" s="17"/>
      <c r="W1885" s="17"/>
      <c r="X1885" s="17"/>
      <c r="Y1885" s="98">
        <v>95</v>
      </c>
      <c r="Z1885" s="98">
        <v>99</v>
      </c>
      <c r="AA1885" s="22">
        <v>85369202</v>
      </c>
      <c r="AB1885" s="98">
        <f t="shared" si="594"/>
        <v>99.081025057740746</v>
      </c>
      <c r="AC1885" s="20">
        <f t="shared" si="595"/>
        <v>85369202</v>
      </c>
      <c r="AD1885" s="98">
        <f t="shared" si="596"/>
        <v>99.081025057740746</v>
      </c>
    </row>
    <row r="1886" spans="2:30" ht="18" customHeight="1">
      <c r="B1886" s="13">
        <v>4</v>
      </c>
      <c r="C1886" s="74" t="s">
        <v>205</v>
      </c>
      <c r="D1886" s="74" t="s">
        <v>34</v>
      </c>
      <c r="E1886" s="204"/>
      <c r="F1886" s="204">
        <v>1</v>
      </c>
      <c r="G1886" s="552" t="s">
        <v>1845</v>
      </c>
      <c r="H1886" s="613">
        <v>0</v>
      </c>
      <c r="I1886" s="552" t="s">
        <v>1845</v>
      </c>
      <c r="J1886" s="15">
        <v>25265000</v>
      </c>
      <c r="K1886" s="99">
        <v>30575000</v>
      </c>
      <c r="L1886" s="13"/>
      <c r="M1886" s="17"/>
      <c r="N1886" s="17"/>
      <c r="O1886" s="17"/>
      <c r="P1886" s="17"/>
      <c r="Q1886" s="17"/>
      <c r="R1886" s="17"/>
      <c r="S1886" s="17"/>
      <c r="T1886" s="17"/>
      <c r="U1886" s="17"/>
      <c r="V1886" s="17"/>
      <c r="W1886" s="17"/>
      <c r="X1886" s="17"/>
      <c r="Y1886" s="98">
        <v>95</v>
      </c>
      <c r="Z1886" s="98">
        <v>99</v>
      </c>
      <c r="AA1886" s="20">
        <v>30215000</v>
      </c>
      <c r="AB1886" s="98">
        <f t="shared" si="594"/>
        <v>98.822567457072779</v>
      </c>
      <c r="AC1886" s="20">
        <f t="shared" si="595"/>
        <v>30215000</v>
      </c>
      <c r="AD1886" s="98">
        <f t="shared" si="596"/>
        <v>98.822567457072779</v>
      </c>
    </row>
    <row r="1887" spans="2:30" ht="30" customHeight="1">
      <c r="B1887" s="13">
        <v>5</v>
      </c>
      <c r="C1887" s="123" t="s">
        <v>216</v>
      </c>
      <c r="D1887" s="21" t="s">
        <v>38</v>
      </c>
      <c r="E1887" s="204"/>
      <c r="F1887" s="204">
        <v>1</v>
      </c>
      <c r="G1887" s="552" t="s">
        <v>1845</v>
      </c>
      <c r="H1887" s="613">
        <v>0</v>
      </c>
      <c r="I1887" s="552" t="s">
        <v>1845</v>
      </c>
      <c r="J1887" s="15">
        <v>4000000</v>
      </c>
      <c r="K1887" s="99">
        <v>4000000</v>
      </c>
      <c r="L1887" s="13"/>
      <c r="M1887" s="17"/>
      <c r="N1887" s="17"/>
      <c r="O1887" s="17"/>
      <c r="P1887" s="17"/>
      <c r="Q1887" s="17"/>
      <c r="R1887" s="17"/>
      <c r="S1887" s="17"/>
      <c r="T1887" s="17"/>
      <c r="U1887" s="17"/>
      <c r="V1887" s="17"/>
      <c r="W1887" s="17"/>
      <c r="X1887" s="17"/>
      <c r="Y1887" s="98">
        <f t="shared" ref="Y1887" si="597">AB1887</f>
        <v>100</v>
      </c>
      <c r="Z1887" s="98">
        <f t="shared" ref="Z1887" si="598">AD1887</f>
        <v>100</v>
      </c>
      <c r="AA1887" s="20">
        <v>4000000</v>
      </c>
      <c r="AB1887" s="98">
        <f t="shared" si="594"/>
        <v>100</v>
      </c>
      <c r="AC1887" s="20">
        <f t="shared" si="595"/>
        <v>4000000</v>
      </c>
      <c r="AD1887" s="20">
        <f t="shared" si="596"/>
        <v>100</v>
      </c>
    </row>
    <row r="1888" spans="2:30" ht="16.5">
      <c r="B1888" s="13"/>
      <c r="C1888" s="86" t="s">
        <v>1104</v>
      </c>
      <c r="D1888" s="86" t="s">
        <v>1105</v>
      </c>
      <c r="E1888" s="485"/>
      <c r="F1888" s="204"/>
      <c r="G1888" s="552"/>
      <c r="H1888" s="613"/>
      <c r="I1888" s="552"/>
      <c r="J1888" s="209"/>
      <c r="K1888" s="16"/>
      <c r="L1888" s="13"/>
      <c r="M1888" s="17"/>
      <c r="N1888" s="17"/>
      <c r="O1888" s="17"/>
      <c r="P1888" s="17"/>
      <c r="Q1888" s="17"/>
      <c r="R1888" s="17"/>
      <c r="S1888" s="17"/>
      <c r="T1888" s="17"/>
      <c r="U1888" s="17"/>
      <c r="V1888" s="17"/>
      <c r="W1888" s="17"/>
      <c r="X1888" s="17"/>
      <c r="Y1888" s="98"/>
      <c r="Z1888" s="98"/>
      <c r="AA1888" s="20"/>
      <c r="AB1888" s="98"/>
      <c r="AC1888" s="20"/>
      <c r="AD1888" s="98"/>
    </row>
    <row r="1889" spans="1:30">
      <c r="B1889" s="13">
        <v>6</v>
      </c>
      <c r="C1889" s="74" t="s">
        <v>306</v>
      </c>
      <c r="D1889" s="74" t="s">
        <v>1106</v>
      </c>
      <c r="E1889" s="204"/>
      <c r="F1889" s="489">
        <v>1</v>
      </c>
      <c r="G1889" s="614" t="s">
        <v>1845</v>
      </c>
      <c r="H1889" s="615">
        <v>0</v>
      </c>
      <c r="I1889" s="614" t="s">
        <v>1845</v>
      </c>
      <c r="J1889" s="15">
        <v>47410000</v>
      </c>
      <c r="K1889" s="99">
        <v>68493000</v>
      </c>
      <c r="L1889" s="13"/>
      <c r="M1889" s="17"/>
      <c r="N1889" s="17"/>
      <c r="O1889" s="17"/>
      <c r="P1889" s="17"/>
      <c r="Q1889" s="17"/>
      <c r="R1889" s="17"/>
      <c r="S1889" s="17"/>
      <c r="T1889" s="17"/>
      <c r="U1889" s="17"/>
      <c r="V1889" s="17"/>
      <c r="W1889" s="17"/>
      <c r="X1889" s="17"/>
      <c r="Y1889" s="98">
        <v>95</v>
      </c>
      <c r="Z1889" s="98">
        <v>99</v>
      </c>
      <c r="AA1889" s="22">
        <v>68468000</v>
      </c>
      <c r="AB1889" s="98">
        <f t="shared" si="594"/>
        <v>99.963499919699828</v>
      </c>
      <c r="AC1889" s="20">
        <f t="shared" si="595"/>
        <v>68468000</v>
      </c>
      <c r="AD1889" s="98">
        <f t="shared" si="596"/>
        <v>99.963499919699828</v>
      </c>
    </row>
    <row r="1890" spans="1:30">
      <c r="B1890" s="37">
        <v>138</v>
      </c>
      <c r="C1890" s="855" t="s">
        <v>1116</v>
      </c>
      <c r="D1890" s="855"/>
      <c r="E1890" s="483"/>
      <c r="F1890" s="483">
        <f>SUM(F1883:F1889)</f>
        <v>6</v>
      </c>
      <c r="G1890" s="597" t="s">
        <v>1845</v>
      </c>
      <c r="H1890" s="548">
        <f t="shared" ref="H1890" si="599">SUM(H1883:H1889)</f>
        <v>0</v>
      </c>
      <c r="I1890" s="570" t="s">
        <v>1845</v>
      </c>
      <c r="J1890" s="208">
        <f>SUM(J1883:J1889)</f>
        <v>236388000</v>
      </c>
      <c r="K1890" s="208">
        <f>SUM(K1883:K1889)</f>
        <v>347118000</v>
      </c>
      <c r="L1890" s="37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  <c r="X1890" s="38"/>
      <c r="Y1890" s="84">
        <f>SUM(Y1883:Y1889)/6</f>
        <v>95</v>
      </c>
      <c r="Z1890" s="84">
        <f>SUM(Z1883:Z1889)/6</f>
        <v>97.5</v>
      </c>
      <c r="AA1890" s="68">
        <f>SUM(AA1883:AA1889)</f>
        <v>339136876</v>
      </c>
      <c r="AB1890" s="84">
        <f>SUM(AB1883:AB1889)/6</f>
        <v>97.680223998793323</v>
      </c>
      <c r="AC1890" s="68">
        <f>SUM(AC1883:AC1889)</f>
        <v>339136876</v>
      </c>
      <c r="AD1890" s="84">
        <f>SUM(AD1883:AD1889)/6</f>
        <v>97.680223998793323</v>
      </c>
    </row>
    <row r="1891" spans="1:30">
      <c r="B1891" s="66"/>
      <c r="C1891" s="63" t="s">
        <v>1117</v>
      </c>
      <c r="D1891" s="64" t="s">
        <v>1118</v>
      </c>
      <c r="E1891" s="484"/>
      <c r="F1891" s="536">
        <v>6</v>
      </c>
      <c r="G1891" s="535" t="s">
        <v>1845</v>
      </c>
      <c r="H1891" s="541">
        <v>0</v>
      </c>
      <c r="I1891" s="535" t="s">
        <v>1845</v>
      </c>
      <c r="J1891" s="65"/>
      <c r="K1891" s="65"/>
      <c r="L1891" s="66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  <c r="W1891" s="63"/>
      <c r="X1891" s="63"/>
      <c r="Y1891" s="63"/>
      <c r="Z1891" s="63"/>
      <c r="AA1891" s="63"/>
      <c r="AB1891" s="63"/>
      <c r="AC1891" s="63"/>
      <c r="AD1891" s="63"/>
    </row>
    <row r="1892" spans="1:30" ht="27">
      <c r="B1892" s="13"/>
      <c r="C1892" s="86" t="s">
        <v>942</v>
      </c>
      <c r="D1892" s="86" t="s">
        <v>26</v>
      </c>
      <c r="E1892" s="485"/>
      <c r="F1892" s="485"/>
      <c r="G1892" s="441"/>
      <c r="H1892" s="617"/>
      <c r="I1892" s="87"/>
      <c r="J1892" s="209"/>
      <c r="K1892" s="99"/>
      <c r="L1892" s="13"/>
      <c r="M1892" s="17"/>
      <c r="N1892" s="17"/>
      <c r="O1892" s="17"/>
      <c r="P1892" s="17"/>
      <c r="Q1892" s="17"/>
      <c r="R1892" s="17"/>
      <c r="S1892" s="17"/>
      <c r="T1892" s="17"/>
      <c r="U1892" s="17"/>
      <c r="V1892" s="17"/>
      <c r="W1892" s="17"/>
      <c r="X1892" s="17"/>
      <c r="Y1892" s="128"/>
      <c r="Z1892" s="147"/>
      <c r="AA1892" s="244"/>
      <c r="AB1892" s="147"/>
      <c r="AC1892" s="244"/>
      <c r="AD1892" s="147"/>
    </row>
    <row r="1893" spans="1:30">
      <c r="B1893" s="13">
        <v>1</v>
      </c>
      <c r="C1893" s="74" t="s">
        <v>203</v>
      </c>
      <c r="D1893" s="74" t="s">
        <v>28</v>
      </c>
      <c r="E1893" s="204"/>
      <c r="F1893" s="204">
        <v>1</v>
      </c>
      <c r="G1893" s="535" t="s">
        <v>1845</v>
      </c>
      <c r="H1893" s="561">
        <v>0</v>
      </c>
      <c r="I1893" s="535" t="s">
        <v>1845</v>
      </c>
      <c r="J1893" s="15">
        <v>61090000</v>
      </c>
      <c r="K1893" s="99">
        <v>124653000</v>
      </c>
      <c r="L1893" s="13"/>
      <c r="M1893" s="17"/>
      <c r="N1893" s="17"/>
      <c r="O1893" s="17"/>
      <c r="P1893" s="17"/>
      <c r="Q1893" s="17"/>
      <c r="R1893" s="17"/>
      <c r="S1893" s="17"/>
      <c r="T1893" s="17"/>
      <c r="U1893" s="17"/>
      <c r="V1893" s="17"/>
      <c r="W1893" s="17"/>
      <c r="X1893" s="17"/>
      <c r="Y1893" s="17">
        <v>100</v>
      </c>
      <c r="Z1893" s="98">
        <v>95</v>
      </c>
      <c r="AA1893" s="22">
        <v>118949030</v>
      </c>
      <c r="AB1893" s="98">
        <f>AA1893/K1893*100</f>
        <v>95.424121360897857</v>
      </c>
      <c r="AC1893" s="20">
        <f>AA1893</f>
        <v>118949030</v>
      </c>
      <c r="AD1893" s="98">
        <f>AC1893/K1893*100</f>
        <v>95.424121360897857</v>
      </c>
    </row>
    <row r="1894" spans="1:30">
      <c r="B1894" s="13">
        <v>2</v>
      </c>
      <c r="C1894" s="74" t="s">
        <v>210</v>
      </c>
      <c r="D1894" s="74" t="s">
        <v>30</v>
      </c>
      <c r="E1894" s="204"/>
      <c r="F1894" s="204">
        <v>1</v>
      </c>
      <c r="G1894" s="535" t="s">
        <v>1845</v>
      </c>
      <c r="H1894" s="561">
        <v>0</v>
      </c>
      <c r="I1894" s="535" t="s">
        <v>1845</v>
      </c>
      <c r="J1894" s="15">
        <v>3775000</v>
      </c>
      <c r="K1894" s="99">
        <v>4620000</v>
      </c>
      <c r="L1894" s="13"/>
      <c r="M1894" s="17"/>
      <c r="N1894" s="17"/>
      <c r="O1894" s="17"/>
      <c r="P1894" s="17"/>
      <c r="Q1894" s="17"/>
      <c r="R1894" s="17"/>
      <c r="S1894" s="17"/>
      <c r="T1894" s="17"/>
      <c r="U1894" s="17"/>
      <c r="V1894" s="17"/>
      <c r="W1894" s="17"/>
      <c r="X1894" s="17"/>
      <c r="Y1894" s="17">
        <v>100</v>
      </c>
      <c r="Z1894" s="98">
        <v>100</v>
      </c>
      <c r="AA1894" s="22">
        <v>4617750</v>
      </c>
      <c r="AB1894" s="98">
        <f t="shared" ref="AB1894:AB1900" si="600">AA1894/K1894*100</f>
        <v>99.951298701298697</v>
      </c>
      <c r="AC1894" s="20">
        <f t="shared" ref="AC1894:AC1900" si="601">AA1894</f>
        <v>4617750</v>
      </c>
      <c r="AD1894" s="98">
        <f t="shared" ref="AD1894:AD1900" si="602">AC1894/K1894*100</f>
        <v>99.951298701298697</v>
      </c>
    </row>
    <row r="1895" spans="1:30">
      <c r="B1895" s="13">
        <v>3</v>
      </c>
      <c r="C1895" s="74" t="s">
        <v>204</v>
      </c>
      <c r="D1895" s="74" t="s">
        <v>32</v>
      </c>
      <c r="E1895" s="204"/>
      <c r="F1895" s="204">
        <v>1</v>
      </c>
      <c r="G1895" s="535" t="s">
        <v>1845</v>
      </c>
      <c r="H1895" s="561">
        <v>0</v>
      </c>
      <c r="I1895" s="535" t="s">
        <v>1845</v>
      </c>
      <c r="J1895" s="15">
        <v>66103000</v>
      </c>
      <c r="K1895" s="99">
        <v>67048000</v>
      </c>
      <c r="L1895" s="13"/>
      <c r="M1895" s="17"/>
      <c r="N1895" s="17"/>
      <c r="O1895" s="17"/>
      <c r="P1895" s="17"/>
      <c r="Q1895" s="17"/>
      <c r="R1895" s="17"/>
      <c r="S1895" s="17"/>
      <c r="T1895" s="17"/>
      <c r="U1895" s="17"/>
      <c r="V1895" s="17"/>
      <c r="W1895" s="17"/>
      <c r="X1895" s="17"/>
      <c r="Y1895" s="17">
        <v>100</v>
      </c>
      <c r="Z1895" s="98">
        <v>96</v>
      </c>
      <c r="AA1895" s="22">
        <v>66881575</v>
      </c>
      <c r="AB1895" s="98">
        <f t="shared" si="600"/>
        <v>99.751782305214178</v>
      </c>
      <c r="AC1895" s="20">
        <f t="shared" si="601"/>
        <v>66881575</v>
      </c>
      <c r="AD1895" s="98">
        <f t="shared" si="602"/>
        <v>99.751782305214178</v>
      </c>
    </row>
    <row r="1896" spans="1:30">
      <c r="B1896" s="13">
        <v>4</v>
      </c>
      <c r="C1896" s="74" t="s">
        <v>205</v>
      </c>
      <c r="D1896" s="74" t="s">
        <v>34</v>
      </c>
      <c r="E1896" s="204"/>
      <c r="F1896" s="204">
        <v>1</v>
      </c>
      <c r="G1896" s="535" t="s">
        <v>1845</v>
      </c>
      <c r="H1896" s="561">
        <v>0</v>
      </c>
      <c r="I1896" s="535" t="s">
        <v>1845</v>
      </c>
      <c r="J1896" s="15">
        <v>24600000</v>
      </c>
      <c r="K1896" s="99">
        <v>30510000</v>
      </c>
      <c r="L1896" s="13"/>
      <c r="M1896" s="17"/>
      <c r="N1896" s="17"/>
      <c r="O1896" s="17"/>
      <c r="P1896" s="17"/>
      <c r="Q1896" s="17"/>
      <c r="R1896" s="17"/>
      <c r="S1896" s="17"/>
      <c r="T1896" s="17"/>
      <c r="U1896" s="17"/>
      <c r="V1896" s="17"/>
      <c r="W1896" s="17"/>
      <c r="X1896" s="17"/>
      <c r="Y1896" s="17">
        <v>100</v>
      </c>
      <c r="Z1896" s="98">
        <v>100</v>
      </c>
      <c r="AA1896" s="22">
        <v>30510000</v>
      </c>
      <c r="AB1896" s="98">
        <f t="shared" si="600"/>
        <v>100</v>
      </c>
      <c r="AC1896" s="20">
        <f t="shared" si="601"/>
        <v>30510000</v>
      </c>
      <c r="AD1896" s="98">
        <f t="shared" si="602"/>
        <v>100</v>
      </c>
    </row>
    <row r="1897" spans="1:30" ht="25.5">
      <c r="B1897" s="13">
        <v>5</v>
      </c>
      <c r="C1897" s="123" t="s">
        <v>216</v>
      </c>
      <c r="D1897" s="21" t="s">
        <v>38</v>
      </c>
      <c r="E1897" s="204"/>
      <c r="F1897" s="204">
        <v>1</v>
      </c>
      <c r="G1897" s="535" t="s">
        <v>1845</v>
      </c>
      <c r="H1897" s="561">
        <v>0</v>
      </c>
      <c r="I1897" s="535" t="s">
        <v>1845</v>
      </c>
      <c r="J1897" s="15">
        <v>4000000</v>
      </c>
      <c r="K1897" s="99">
        <v>3054000</v>
      </c>
      <c r="L1897" s="13"/>
      <c r="M1897" s="17"/>
      <c r="N1897" s="17"/>
      <c r="O1897" s="17"/>
      <c r="P1897" s="17"/>
      <c r="Q1897" s="17"/>
      <c r="R1897" s="17"/>
      <c r="S1897" s="17"/>
      <c r="T1897" s="17"/>
      <c r="U1897" s="17"/>
      <c r="V1897" s="17"/>
      <c r="W1897" s="17"/>
      <c r="X1897" s="17"/>
      <c r="Y1897" s="17">
        <v>100</v>
      </c>
      <c r="Z1897" s="98">
        <v>100</v>
      </c>
      <c r="AA1897" s="22">
        <v>3054000</v>
      </c>
      <c r="AB1897" s="98">
        <f t="shared" si="600"/>
        <v>100</v>
      </c>
      <c r="AC1897" s="20">
        <f t="shared" si="601"/>
        <v>3054000</v>
      </c>
      <c r="AD1897" s="20">
        <f t="shared" si="602"/>
        <v>100</v>
      </c>
    </row>
    <row r="1898" spans="1:30" ht="16.5">
      <c r="A1898" s="1" t="s">
        <v>1</v>
      </c>
      <c r="B1898" s="13"/>
      <c r="C1898" s="86" t="s">
        <v>1104</v>
      </c>
      <c r="D1898" s="86" t="s">
        <v>1105</v>
      </c>
      <c r="E1898" s="485"/>
      <c r="F1898" s="204"/>
      <c r="G1898" s="535" t="s">
        <v>1845</v>
      </c>
      <c r="H1898" s="561">
        <v>0</v>
      </c>
      <c r="I1898" s="535" t="s">
        <v>1845</v>
      </c>
      <c r="J1898" s="209"/>
      <c r="K1898" s="25"/>
      <c r="L1898" s="13"/>
      <c r="M1898" s="17"/>
      <c r="N1898" s="17"/>
      <c r="O1898" s="17"/>
      <c r="P1898" s="17"/>
      <c r="Q1898" s="17"/>
      <c r="R1898" s="17"/>
      <c r="S1898" s="17"/>
      <c r="T1898" s="17"/>
      <c r="U1898" s="17"/>
      <c r="V1898" s="17"/>
      <c r="W1898" s="17"/>
      <c r="X1898" s="17"/>
      <c r="Y1898" s="17"/>
      <c r="Z1898" s="147"/>
      <c r="AA1898" s="244"/>
      <c r="AB1898" s="98"/>
      <c r="AC1898" s="244" t="s">
        <v>1</v>
      </c>
      <c r="AD1898" s="98"/>
    </row>
    <row r="1899" spans="1:30">
      <c r="B1899" s="13">
        <v>6</v>
      </c>
      <c r="C1899" s="74" t="s">
        <v>306</v>
      </c>
      <c r="D1899" s="74" t="s">
        <v>1106</v>
      </c>
      <c r="E1899" s="204"/>
      <c r="F1899" s="204">
        <v>1</v>
      </c>
      <c r="G1899" s="59" t="s">
        <v>1845</v>
      </c>
      <c r="H1899" s="561">
        <v>0</v>
      </c>
      <c r="I1899" s="59" t="s">
        <v>1845</v>
      </c>
      <c r="J1899" s="15">
        <v>48935000</v>
      </c>
      <c r="K1899" s="99">
        <v>63103000</v>
      </c>
      <c r="L1899" s="13"/>
      <c r="M1899" s="17"/>
      <c r="N1899" s="17"/>
      <c r="O1899" s="17"/>
      <c r="P1899" s="17"/>
      <c r="Q1899" s="17"/>
      <c r="R1899" s="17"/>
      <c r="S1899" s="17"/>
      <c r="T1899" s="17"/>
      <c r="U1899" s="17"/>
      <c r="V1899" s="17"/>
      <c r="W1899" s="17"/>
      <c r="X1899" s="17"/>
      <c r="Y1899" s="17">
        <v>100</v>
      </c>
      <c r="Z1899" s="98">
        <v>98</v>
      </c>
      <c r="AA1899" s="22">
        <v>62089500</v>
      </c>
      <c r="AB1899" s="98">
        <f t="shared" si="600"/>
        <v>98.393895694340998</v>
      </c>
      <c r="AC1899" s="20">
        <f t="shared" si="601"/>
        <v>62089500</v>
      </c>
      <c r="AD1899" s="98">
        <f t="shared" si="602"/>
        <v>98.393895694340998</v>
      </c>
    </row>
    <row r="1900" spans="1:30">
      <c r="B1900" s="47">
        <v>7</v>
      </c>
      <c r="C1900" s="376" t="s">
        <v>2103</v>
      </c>
      <c r="D1900" s="376" t="s">
        <v>2104</v>
      </c>
      <c r="E1900" s="347"/>
      <c r="F1900" s="347"/>
      <c r="G1900" s="611"/>
      <c r="H1900" s="566"/>
      <c r="I1900" s="611"/>
      <c r="J1900" s="598"/>
      <c r="K1900" s="85">
        <v>210000000</v>
      </c>
      <c r="L1900" s="47"/>
      <c r="M1900" s="51"/>
      <c r="N1900" s="51"/>
      <c r="O1900" s="51"/>
      <c r="P1900" s="51"/>
      <c r="Q1900" s="51"/>
      <c r="R1900" s="51"/>
      <c r="S1900" s="51"/>
      <c r="T1900" s="51"/>
      <c r="U1900" s="51"/>
      <c r="V1900" s="51"/>
      <c r="W1900" s="51"/>
      <c r="X1900" s="51"/>
      <c r="Y1900" s="51">
        <v>100</v>
      </c>
      <c r="Z1900" s="207">
        <v>100</v>
      </c>
      <c r="AA1900" s="112">
        <v>209650000</v>
      </c>
      <c r="AB1900" s="98">
        <f t="shared" si="600"/>
        <v>99.833333333333329</v>
      </c>
      <c r="AC1900" s="239">
        <f t="shared" si="601"/>
        <v>209650000</v>
      </c>
      <c r="AD1900" s="207">
        <f t="shared" si="602"/>
        <v>99.833333333333329</v>
      </c>
    </row>
    <row r="1901" spans="1:30" ht="18" customHeight="1">
      <c r="B1901" s="37">
        <v>139</v>
      </c>
      <c r="C1901" s="855" t="s">
        <v>1119</v>
      </c>
      <c r="D1901" s="855"/>
      <c r="E1901" s="483"/>
      <c r="F1901" s="483">
        <v>8</v>
      </c>
      <c r="G1901" s="567" t="s">
        <v>1845</v>
      </c>
      <c r="H1901" s="483">
        <f>SUM(H1893:H1899)</f>
        <v>0</v>
      </c>
      <c r="I1901" s="567" t="s">
        <v>1845</v>
      </c>
      <c r="J1901" s="208">
        <f>SUM(J1893:J1899)</f>
        <v>208503000</v>
      </c>
      <c r="K1901" s="208">
        <f>SUM(K1892:K1900)</f>
        <v>502988000</v>
      </c>
      <c r="L1901" s="37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38"/>
      <c r="Y1901" s="82">
        <f>SUM(Y1893:Y1900)/7</f>
        <v>100</v>
      </c>
      <c r="Z1901" s="82">
        <f>SUM(Z1893:Z1900)/7</f>
        <v>98.428571428571431</v>
      </c>
      <c r="AA1901" s="245">
        <f>SUM(AA1893:AA1900)</f>
        <v>495751855</v>
      </c>
      <c r="AB1901" s="82">
        <f>SUM(AB1893:AB1900)/7</f>
        <v>99.050633056440731</v>
      </c>
      <c r="AC1901" s="245">
        <f>SUM(AC1893:AC1900)</f>
        <v>495751855</v>
      </c>
      <c r="AD1901" s="82">
        <f>SUM(AD1893:AD1900)/7</f>
        <v>99.050633056440731</v>
      </c>
    </row>
    <row r="1902" spans="1:30">
      <c r="B1902" s="66"/>
      <c r="C1902" s="63" t="s">
        <v>1120</v>
      </c>
      <c r="D1902" s="64" t="s">
        <v>1121</v>
      </c>
      <c r="E1902" s="484"/>
      <c r="F1902" s="536">
        <v>6</v>
      </c>
      <c r="G1902" s="535" t="s">
        <v>1845</v>
      </c>
      <c r="H1902" s="541">
        <v>0</v>
      </c>
      <c r="I1902" s="535" t="s">
        <v>1845</v>
      </c>
      <c r="J1902" s="65"/>
      <c r="K1902" s="65"/>
      <c r="L1902" s="66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  <c r="W1902" s="63"/>
      <c r="X1902" s="63"/>
      <c r="Y1902" s="63"/>
      <c r="Z1902" s="63"/>
      <c r="AA1902" s="137"/>
      <c r="AB1902" s="63"/>
      <c r="AC1902" s="63"/>
      <c r="AD1902" s="63"/>
    </row>
    <row r="1903" spans="1:30">
      <c r="B1903" s="66">
        <v>1</v>
      </c>
      <c r="C1903" s="63">
        <v>21.44</v>
      </c>
      <c r="D1903" s="58" t="s">
        <v>2118</v>
      </c>
      <c r="E1903" s="484"/>
      <c r="F1903" s="563"/>
      <c r="G1903" s="535"/>
      <c r="H1903" s="745"/>
      <c r="I1903" s="564"/>
      <c r="J1903" s="65"/>
      <c r="K1903" s="99">
        <v>205000000</v>
      </c>
      <c r="L1903" s="66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  <c r="W1903" s="63"/>
      <c r="X1903" s="63"/>
      <c r="Y1903" s="63">
        <v>100</v>
      </c>
      <c r="Z1903" s="63">
        <v>100</v>
      </c>
      <c r="AA1903" s="137">
        <v>205000000</v>
      </c>
      <c r="AB1903" s="63"/>
      <c r="AC1903" s="63"/>
      <c r="AD1903" s="63"/>
    </row>
    <row r="1904" spans="1:30" ht="27">
      <c r="B1904" s="13"/>
      <c r="C1904" s="86" t="s">
        <v>942</v>
      </c>
      <c r="D1904" s="86" t="s">
        <v>26</v>
      </c>
      <c r="E1904" s="485"/>
      <c r="F1904" s="485"/>
      <c r="G1904" s="441"/>
      <c r="H1904" s="547"/>
      <c r="I1904" s="87"/>
      <c r="J1904" s="209"/>
      <c r="K1904" s="16"/>
      <c r="L1904" s="13"/>
      <c r="M1904" s="17"/>
      <c r="N1904" s="17"/>
      <c r="O1904" s="17"/>
      <c r="P1904" s="17"/>
      <c r="Q1904" s="17"/>
      <c r="R1904" s="17"/>
      <c r="S1904" s="17"/>
      <c r="T1904" s="17"/>
      <c r="U1904" s="17"/>
      <c r="V1904" s="17"/>
      <c r="W1904" s="17"/>
      <c r="X1904" s="17"/>
      <c r="Y1904" s="17"/>
      <c r="Z1904" s="17"/>
      <c r="AA1904" s="17"/>
      <c r="AB1904" s="17"/>
      <c r="AC1904" s="17"/>
      <c r="AD1904" s="17"/>
    </row>
    <row r="1905" spans="2:30">
      <c r="B1905" s="13">
        <v>2</v>
      </c>
      <c r="C1905" s="74" t="s">
        <v>203</v>
      </c>
      <c r="D1905" s="74" t="s">
        <v>28</v>
      </c>
      <c r="E1905" s="204"/>
      <c r="F1905" s="204">
        <v>1</v>
      </c>
      <c r="G1905" s="535" t="s">
        <v>1845</v>
      </c>
      <c r="H1905" s="613">
        <v>0</v>
      </c>
      <c r="I1905" s="535" t="s">
        <v>1845</v>
      </c>
      <c r="J1905" s="15">
        <v>64954000</v>
      </c>
      <c r="K1905" s="99">
        <v>139004000</v>
      </c>
      <c r="L1905" s="13"/>
      <c r="M1905" s="17"/>
      <c r="N1905" s="17"/>
      <c r="O1905" s="17"/>
      <c r="P1905" s="17"/>
      <c r="Q1905" s="17"/>
      <c r="R1905" s="17"/>
      <c r="S1905" s="17"/>
      <c r="T1905" s="17"/>
      <c r="U1905" s="17"/>
      <c r="V1905" s="17"/>
      <c r="W1905" s="17"/>
      <c r="X1905" s="17"/>
      <c r="Y1905" s="98">
        <f>AB1905</f>
        <v>92.13067321803689</v>
      </c>
      <c r="Z1905" s="98">
        <f>AD1905</f>
        <v>92.13067321803689</v>
      </c>
      <c r="AA1905" s="22">
        <v>128065321</v>
      </c>
      <c r="AB1905" s="98">
        <f>AA1905/K1905*100</f>
        <v>92.13067321803689</v>
      </c>
      <c r="AC1905" s="20">
        <f>AA1905</f>
        <v>128065321</v>
      </c>
      <c r="AD1905" s="98">
        <f>AC1905/K1905*100</f>
        <v>92.13067321803689</v>
      </c>
    </row>
    <row r="1906" spans="2:30">
      <c r="B1906" s="13">
        <v>3</v>
      </c>
      <c r="C1906" s="74" t="s">
        <v>210</v>
      </c>
      <c r="D1906" s="74" t="s">
        <v>30</v>
      </c>
      <c r="E1906" s="204"/>
      <c r="F1906" s="204">
        <v>1</v>
      </c>
      <c r="G1906" s="535" t="s">
        <v>1845</v>
      </c>
      <c r="H1906" s="613">
        <v>0</v>
      </c>
      <c r="I1906" s="535" t="s">
        <v>1845</v>
      </c>
      <c r="J1906" s="15">
        <v>4125000</v>
      </c>
      <c r="K1906" s="99">
        <v>6249000</v>
      </c>
      <c r="L1906" s="13"/>
      <c r="M1906" s="17"/>
      <c r="N1906" s="17"/>
      <c r="O1906" s="17"/>
      <c r="P1906" s="17"/>
      <c r="Q1906" s="17"/>
      <c r="R1906" s="17"/>
      <c r="S1906" s="17"/>
      <c r="T1906" s="17"/>
      <c r="U1906" s="17"/>
      <c r="V1906" s="17"/>
      <c r="W1906" s="17"/>
      <c r="X1906" s="17"/>
      <c r="Y1906" s="98">
        <f t="shared" ref="Y1906:Y1909" si="603">AB1906</f>
        <v>99.098255720915347</v>
      </c>
      <c r="Z1906" s="98">
        <f t="shared" ref="Z1906:Z1909" si="604">AD1906</f>
        <v>99.098255720915347</v>
      </c>
      <c r="AA1906" s="77">
        <v>6192650</v>
      </c>
      <c r="AB1906" s="98">
        <f t="shared" ref="AB1906:AB1909" si="605">AA1906/K1906*100</f>
        <v>99.098255720915347</v>
      </c>
      <c r="AC1906" s="20">
        <f t="shared" ref="AC1906:AC1911" si="606">AA1906</f>
        <v>6192650</v>
      </c>
      <c r="AD1906" s="98">
        <f t="shared" ref="AD1906:AD1909" si="607">AC1906/K1906*100</f>
        <v>99.098255720915347</v>
      </c>
    </row>
    <row r="1907" spans="2:30">
      <c r="B1907" s="13">
        <v>4</v>
      </c>
      <c r="C1907" s="74" t="s">
        <v>204</v>
      </c>
      <c r="D1907" s="74" t="s">
        <v>32</v>
      </c>
      <c r="E1907" s="204"/>
      <c r="F1907" s="204">
        <v>1</v>
      </c>
      <c r="G1907" s="535" t="s">
        <v>1845</v>
      </c>
      <c r="H1907" s="613">
        <v>0</v>
      </c>
      <c r="I1907" s="535" t="s">
        <v>1845</v>
      </c>
      <c r="J1907" s="15">
        <v>71145000</v>
      </c>
      <c r="K1907" s="99">
        <v>71145000</v>
      </c>
      <c r="L1907" s="13"/>
      <c r="M1907" s="17"/>
      <c r="N1907" s="83"/>
      <c r="O1907" s="83"/>
      <c r="P1907" s="17"/>
      <c r="Q1907" s="17"/>
      <c r="R1907" s="17"/>
      <c r="S1907" s="17"/>
      <c r="T1907" s="17"/>
      <c r="U1907" s="17"/>
      <c r="V1907" s="17"/>
      <c r="W1907" s="17"/>
      <c r="X1907" s="17"/>
      <c r="Y1907" s="98">
        <f t="shared" si="603"/>
        <v>99.588638695621626</v>
      </c>
      <c r="Z1907" s="98">
        <f t="shared" si="604"/>
        <v>99.588638695621626</v>
      </c>
      <c r="AA1907" s="77">
        <v>70852337</v>
      </c>
      <c r="AB1907" s="98">
        <f t="shared" si="605"/>
        <v>99.588638695621626</v>
      </c>
      <c r="AC1907" s="20">
        <f t="shared" si="606"/>
        <v>70852337</v>
      </c>
      <c r="AD1907" s="98">
        <f t="shared" si="607"/>
        <v>99.588638695621626</v>
      </c>
    </row>
    <row r="1908" spans="2:30">
      <c r="B1908" s="13">
        <v>5</v>
      </c>
      <c r="C1908" s="74" t="s">
        <v>205</v>
      </c>
      <c r="D1908" s="74" t="s">
        <v>34</v>
      </c>
      <c r="E1908" s="204"/>
      <c r="F1908" s="204">
        <v>1</v>
      </c>
      <c r="G1908" s="535" t="s">
        <v>1845</v>
      </c>
      <c r="H1908" s="613">
        <v>0</v>
      </c>
      <c r="I1908" s="535" t="s">
        <v>1845</v>
      </c>
      <c r="J1908" s="15">
        <v>19920000</v>
      </c>
      <c r="K1908" s="99">
        <v>27420000</v>
      </c>
      <c r="L1908" s="13"/>
      <c r="M1908" s="17"/>
      <c r="N1908" s="17"/>
      <c r="O1908" s="17"/>
      <c r="P1908" s="17"/>
      <c r="Q1908" s="17"/>
      <c r="R1908" s="17"/>
      <c r="S1908" s="17"/>
      <c r="T1908" s="17"/>
      <c r="U1908" s="17"/>
      <c r="V1908" s="17"/>
      <c r="W1908" s="17"/>
      <c r="X1908" s="17"/>
      <c r="Y1908" s="20">
        <f t="shared" si="603"/>
        <v>100</v>
      </c>
      <c r="Z1908" s="20">
        <f t="shared" si="604"/>
        <v>100</v>
      </c>
      <c r="AA1908" s="77">
        <v>27420000</v>
      </c>
      <c r="AB1908" s="98">
        <f t="shared" si="605"/>
        <v>100</v>
      </c>
      <c r="AC1908" s="20">
        <f t="shared" si="606"/>
        <v>27420000</v>
      </c>
      <c r="AD1908" s="98">
        <f t="shared" si="607"/>
        <v>100</v>
      </c>
    </row>
    <row r="1909" spans="2:30" ht="25.5">
      <c r="B1909" s="13">
        <v>6</v>
      </c>
      <c r="C1909" s="123" t="s">
        <v>216</v>
      </c>
      <c r="D1909" s="21" t="s">
        <v>38</v>
      </c>
      <c r="E1909" s="204"/>
      <c r="F1909" s="204">
        <v>1</v>
      </c>
      <c r="G1909" s="535" t="s">
        <v>1845</v>
      </c>
      <c r="H1909" s="613">
        <v>0</v>
      </c>
      <c r="I1909" s="535" t="s">
        <v>1845</v>
      </c>
      <c r="J1909" s="15">
        <v>4000000</v>
      </c>
      <c r="K1909" s="99">
        <v>4000000</v>
      </c>
      <c r="L1909" s="13"/>
      <c r="M1909" s="17"/>
      <c r="N1909" s="17"/>
      <c r="O1909" s="17"/>
      <c r="P1909" s="17"/>
      <c r="Q1909" s="17"/>
      <c r="R1909" s="17"/>
      <c r="S1909" s="17"/>
      <c r="T1909" s="17"/>
      <c r="U1909" s="17"/>
      <c r="V1909" s="17"/>
      <c r="W1909" s="17"/>
      <c r="X1909" s="17"/>
      <c r="Y1909" s="20">
        <f t="shared" si="603"/>
        <v>100</v>
      </c>
      <c r="Z1909" s="20">
        <f t="shared" si="604"/>
        <v>100</v>
      </c>
      <c r="AA1909" s="77">
        <v>4000000</v>
      </c>
      <c r="AB1909" s="98">
        <f t="shared" si="605"/>
        <v>100</v>
      </c>
      <c r="AC1909" s="20">
        <f t="shared" si="606"/>
        <v>4000000</v>
      </c>
      <c r="AD1909" s="98">
        <f t="shared" si="607"/>
        <v>100</v>
      </c>
    </row>
    <row r="1910" spans="2:30" ht="16.5">
      <c r="B1910" s="13"/>
      <c r="C1910" s="86" t="s">
        <v>1104</v>
      </c>
      <c r="D1910" s="86" t="s">
        <v>1105</v>
      </c>
      <c r="E1910" s="485"/>
      <c r="F1910" s="204"/>
      <c r="G1910" s="441"/>
      <c r="H1910" s="613"/>
      <c r="I1910" s="535"/>
      <c r="J1910" s="209"/>
      <c r="K1910" s="16"/>
      <c r="L1910" s="13"/>
      <c r="M1910" s="17"/>
      <c r="N1910" s="17"/>
      <c r="O1910" s="17"/>
      <c r="P1910" s="17"/>
      <c r="Q1910" s="17"/>
      <c r="R1910" s="17"/>
      <c r="S1910" s="17"/>
      <c r="T1910" s="17"/>
      <c r="U1910" s="17"/>
      <c r="V1910" s="17"/>
      <c r="W1910" s="17"/>
      <c r="X1910" s="17"/>
      <c r="Y1910" s="98"/>
      <c r="Z1910" s="98"/>
      <c r="AA1910" s="77"/>
      <c r="AB1910" s="98"/>
      <c r="AC1910" s="20"/>
      <c r="AD1910" s="149"/>
    </row>
    <row r="1911" spans="2:30">
      <c r="B1911" s="13">
        <v>7</v>
      </c>
      <c r="C1911" s="74" t="s">
        <v>306</v>
      </c>
      <c r="D1911" s="74" t="s">
        <v>1106</v>
      </c>
      <c r="E1911" s="204"/>
      <c r="F1911" s="489">
        <v>1</v>
      </c>
      <c r="G1911" s="611" t="s">
        <v>1845</v>
      </c>
      <c r="H1911" s="615">
        <v>0</v>
      </c>
      <c r="I1911" s="611" t="s">
        <v>1845</v>
      </c>
      <c r="J1911" s="15">
        <v>43756000</v>
      </c>
      <c r="K1911" s="99">
        <v>57256000</v>
      </c>
      <c r="L1911" s="13"/>
      <c r="M1911" s="17"/>
      <c r="N1911" s="17"/>
      <c r="O1911" s="17"/>
      <c r="P1911" s="17"/>
      <c r="Q1911" s="17"/>
      <c r="R1911" s="17"/>
      <c r="S1911" s="17"/>
      <c r="T1911" s="17"/>
      <c r="U1911" s="17"/>
      <c r="V1911" s="17"/>
      <c r="W1911" s="17"/>
      <c r="X1911" s="17"/>
      <c r="Y1911" s="20">
        <f t="shared" ref="Y1911" si="608">AB1911</f>
        <v>100</v>
      </c>
      <c r="Z1911" s="98">
        <f t="shared" ref="Z1911" si="609">AD1911</f>
        <v>100</v>
      </c>
      <c r="AA1911" s="77">
        <v>57256000</v>
      </c>
      <c r="AB1911" s="98">
        <f>AA1911/K1911*100</f>
        <v>100</v>
      </c>
      <c r="AC1911" s="20">
        <f t="shared" si="606"/>
        <v>57256000</v>
      </c>
      <c r="AD1911" s="19">
        <f>AC1911/K1911*100</f>
        <v>100</v>
      </c>
    </row>
    <row r="1912" spans="2:30">
      <c r="B1912" s="37">
        <v>140</v>
      </c>
      <c r="C1912" s="855" t="s">
        <v>1122</v>
      </c>
      <c r="D1912" s="855"/>
      <c r="E1912" s="483"/>
      <c r="F1912" s="483">
        <v>7</v>
      </c>
      <c r="G1912" s="567" t="s">
        <v>1845</v>
      </c>
      <c r="H1912" s="548">
        <v>0</v>
      </c>
      <c r="I1912" s="567" t="s">
        <v>1845</v>
      </c>
      <c r="J1912" s="208">
        <f>SUM(J1905:J1911)</f>
        <v>207900000</v>
      </c>
      <c r="K1912" s="208">
        <f>SUM(K1903:K1911)</f>
        <v>510074000</v>
      </c>
      <c r="L1912" s="37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38"/>
      <c r="Y1912" s="308">
        <f>SUM(Y1903:Y1911)/7</f>
        <v>98.68822394779626</v>
      </c>
      <c r="Z1912" s="308">
        <f>SUM(Z1903:Z1911)/7</f>
        <v>98.68822394779626</v>
      </c>
      <c r="AA1912" s="208">
        <f>SUM(AA1903:AA1911)</f>
        <v>498786308</v>
      </c>
      <c r="AB1912" s="308">
        <f>SUM(AB1903:AB1911)/7</f>
        <v>84.402509662081982</v>
      </c>
      <c r="AC1912" s="208">
        <f>SUM(AC1903:AC1911)</f>
        <v>293786308</v>
      </c>
      <c r="AD1912" s="308">
        <f>SUM(AD1903:AD1911)/7</f>
        <v>84.402509662081982</v>
      </c>
    </row>
    <row r="1913" spans="2:30">
      <c r="B1913" s="13"/>
      <c r="C1913" s="193" t="s">
        <v>1123</v>
      </c>
      <c r="D1913" s="70" t="s">
        <v>1124</v>
      </c>
      <c r="E1913" s="204"/>
      <c r="F1913" s="536">
        <v>6</v>
      </c>
      <c r="G1913" s="535" t="s">
        <v>1845</v>
      </c>
      <c r="H1913" s="541">
        <v>0</v>
      </c>
      <c r="I1913" s="535" t="s">
        <v>1845</v>
      </c>
      <c r="J1913" s="25"/>
      <c r="K1913" s="25"/>
      <c r="L1913" s="13"/>
      <c r="M1913" s="17"/>
      <c r="N1913" s="17"/>
      <c r="O1913" s="17"/>
      <c r="P1913" s="17"/>
      <c r="Q1913" s="17"/>
      <c r="R1913" s="17"/>
      <c r="S1913" s="17"/>
      <c r="T1913" s="17"/>
      <c r="U1913" s="17"/>
      <c r="V1913" s="17"/>
      <c r="W1913" s="17"/>
      <c r="X1913" s="17"/>
      <c r="Y1913" s="17"/>
      <c r="Z1913" s="17"/>
      <c r="AA1913" s="17"/>
      <c r="AB1913" s="17"/>
      <c r="AC1913" s="17"/>
      <c r="AD1913" s="17"/>
    </row>
    <row r="1914" spans="2:30">
      <c r="B1914" s="13">
        <v>1</v>
      </c>
      <c r="C1914" s="193">
        <v>21.44</v>
      </c>
      <c r="D1914" s="17" t="s">
        <v>2118</v>
      </c>
      <c r="E1914" s="204"/>
      <c r="F1914" s="563"/>
      <c r="G1914" s="535"/>
      <c r="H1914" s="745"/>
      <c r="I1914" s="564"/>
      <c r="J1914" s="25"/>
      <c r="K1914" s="99">
        <v>160000000</v>
      </c>
      <c r="L1914" s="13"/>
      <c r="M1914" s="17"/>
      <c r="N1914" s="17"/>
      <c r="O1914" s="17"/>
      <c r="P1914" s="17"/>
      <c r="Q1914" s="17"/>
      <c r="R1914" s="17"/>
      <c r="S1914" s="17"/>
      <c r="T1914" s="17"/>
      <c r="U1914" s="17"/>
      <c r="V1914" s="17"/>
      <c r="W1914" s="17"/>
      <c r="X1914" s="17"/>
      <c r="Y1914" s="17">
        <v>100</v>
      </c>
      <c r="Z1914" s="17">
        <v>100</v>
      </c>
      <c r="AA1914" s="17">
        <v>159115000</v>
      </c>
      <c r="AB1914" s="19">
        <f>AA1914/K1914*100</f>
        <v>99.446875000000006</v>
      </c>
      <c r="AC1914" s="17">
        <f>AA1914</f>
        <v>159115000</v>
      </c>
      <c r="AD1914" s="19">
        <f>AC1914/K1914*100</f>
        <v>99.446875000000006</v>
      </c>
    </row>
    <row r="1915" spans="2:30" ht="27">
      <c r="B1915" s="13"/>
      <c r="C1915" s="86" t="s">
        <v>942</v>
      </c>
      <c r="D1915" s="86" t="s">
        <v>26</v>
      </c>
      <c r="E1915" s="485"/>
      <c r="F1915" s="485"/>
      <c r="G1915" s="441"/>
      <c r="H1915" s="547"/>
      <c r="I1915" s="87"/>
      <c r="J1915" s="209"/>
      <c r="K1915" s="16"/>
      <c r="L1915" s="13"/>
      <c r="M1915" s="17"/>
      <c r="N1915" s="17"/>
      <c r="O1915" s="17"/>
      <c r="P1915" s="17"/>
      <c r="Q1915" s="17"/>
      <c r="R1915" s="17"/>
      <c r="S1915" s="17"/>
      <c r="T1915" s="17"/>
      <c r="U1915" s="17"/>
      <c r="V1915" s="17"/>
      <c r="W1915" s="17"/>
      <c r="X1915" s="17"/>
      <c r="Y1915" s="53"/>
      <c r="Z1915" s="53"/>
      <c r="AA1915" s="53"/>
      <c r="AB1915" s="19"/>
      <c r="AC1915" s="53"/>
      <c r="AD1915" s="19"/>
    </row>
    <row r="1916" spans="2:30">
      <c r="B1916" s="13">
        <v>2</v>
      </c>
      <c r="C1916" s="74" t="s">
        <v>203</v>
      </c>
      <c r="D1916" s="74" t="s">
        <v>28</v>
      </c>
      <c r="E1916" s="204"/>
      <c r="F1916" s="204">
        <v>1</v>
      </c>
      <c r="G1916" s="535" t="s">
        <v>1845</v>
      </c>
      <c r="H1916" s="613">
        <v>0</v>
      </c>
      <c r="I1916" s="535" t="s">
        <v>1845</v>
      </c>
      <c r="J1916" s="15">
        <v>46466000</v>
      </c>
      <c r="K1916" s="99">
        <v>114091000</v>
      </c>
      <c r="L1916" s="13"/>
      <c r="M1916" s="17"/>
      <c r="N1916" s="17"/>
      <c r="O1916" s="17"/>
      <c r="P1916" s="17"/>
      <c r="Q1916" s="17"/>
      <c r="R1916" s="17"/>
      <c r="S1916" s="17"/>
      <c r="T1916" s="17"/>
      <c r="U1916" s="17"/>
      <c r="V1916" s="17"/>
      <c r="W1916" s="17"/>
      <c r="X1916" s="17"/>
      <c r="Y1916" s="53">
        <f t="shared" ref="Y1916:Y1922" si="610">AB1916</f>
        <v>97.508259196606218</v>
      </c>
      <c r="Z1916" s="53">
        <f t="shared" ref="Z1916:Z1922" si="611">AD1916</f>
        <v>97.508259196606218</v>
      </c>
      <c r="AA1916" s="22">
        <v>111248148</v>
      </c>
      <c r="AB1916" s="19">
        <f>AA1916/K1916*100</f>
        <v>97.508259196606218</v>
      </c>
      <c r="AC1916" s="22">
        <f t="shared" ref="AC1916:AC1922" si="612">AA1916</f>
        <v>111248148</v>
      </c>
      <c r="AD1916" s="19">
        <f>AC1916/K1916*100</f>
        <v>97.508259196606218</v>
      </c>
    </row>
    <row r="1917" spans="2:30">
      <c r="B1917" s="13">
        <v>3</v>
      </c>
      <c r="C1917" s="74" t="s">
        <v>210</v>
      </c>
      <c r="D1917" s="74" t="s">
        <v>30</v>
      </c>
      <c r="E1917" s="204"/>
      <c r="F1917" s="204">
        <v>1</v>
      </c>
      <c r="G1917" s="535" t="s">
        <v>1845</v>
      </c>
      <c r="H1917" s="613">
        <v>0</v>
      </c>
      <c r="I1917" s="535" t="s">
        <v>1845</v>
      </c>
      <c r="J1917" s="15">
        <v>4700000</v>
      </c>
      <c r="K1917" s="99">
        <v>4700000</v>
      </c>
      <c r="L1917" s="13"/>
      <c r="M1917" s="17"/>
      <c r="N1917" s="17"/>
      <c r="O1917" s="17"/>
      <c r="P1917" s="17"/>
      <c r="Q1917" s="17"/>
      <c r="R1917" s="17"/>
      <c r="S1917" s="17"/>
      <c r="T1917" s="17"/>
      <c r="U1917" s="17"/>
      <c r="V1917" s="17"/>
      <c r="W1917" s="17"/>
      <c r="X1917" s="17"/>
      <c r="Y1917" s="53">
        <f t="shared" si="610"/>
        <v>98.538297872340436</v>
      </c>
      <c r="Z1917" s="53">
        <f t="shared" si="611"/>
        <v>98.538297872340436</v>
      </c>
      <c r="AA1917" s="22">
        <v>4631300</v>
      </c>
      <c r="AB1917" s="19">
        <f t="shared" ref="AB1917:AB1920" si="613">AA1917/K1917*100</f>
        <v>98.538297872340436</v>
      </c>
      <c r="AC1917" s="22">
        <f t="shared" si="612"/>
        <v>4631300</v>
      </c>
      <c r="AD1917" s="19">
        <f t="shared" ref="AD1917:AD1920" si="614">AC1917/K1917*100</f>
        <v>98.538297872340436</v>
      </c>
    </row>
    <row r="1918" spans="2:30">
      <c r="B1918" s="13">
        <f>B1917+1</f>
        <v>4</v>
      </c>
      <c r="C1918" s="74" t="s">
        <v>204</v>
      </c>
      <c r="D1918" s="74" t="s">
        <v>32</v>
      </c>
      <c r="E1918" s="204"/>
      <c r="F1918" s="204">
        <v>1</v>
      </c>
      <c r="G1918" s="535" t="s">
        <v>1845</v>
      </c>
      <c r="H1918" s="613">
        <v>0</v>
      </c>
      <c r="I1918" s="535" t="s">
        <v>1845</v>
      </c>
      <c r="J1918" s="15">
        <v>82805000</v>
      </c>
      <c r="K1918" s="99">
        <v>89305000</v>
      </c>
      <c r="L1918" s="13"/>
      <c r="M1918" s="17"/>
      <c r="N1918" s="17"/>
      <c r="O1918" s="17"/>
      <c r="P1918" s="17"/>
      <c r="Q1918" s="17"/>
      <c r="R1918" s="17"/>
      <c r="S1918" s="17"/>
      <c r="T1918" s="17"/>
      <c r="U1918" s="17"/>
      <c r="V1918" s="17"/>
      <c r="W1918" s="17"/>
      <c r="X1918" s="17"/>
      <c r="Y1918" s="53">
        <f t="shared" si="610"/>
        <v>99.841840882369411</v>
      </c>
      <c r="Z1918" s="53">
        <f t="shared" si="611"/>
        <v>99.841840882369411</v>
      </c>
      <c r="AA1918" s="22">
        <v>89163756</v>
      </c>
      <c r="AB1918" s="19">
        <f t="shared" si="613"/>
        <v>99.841840882369411</v>
      </c>
      <c r="AC1918" s="22">
        <f t="shared" si="612"/>
        <v>89163756</v>
      </c>
      <c r="AD1918" s="19">
        <f t="shared" si="614"/>
        <v>99.841840882369411</v>
      </c>
    </row>
    <row r="1919" spans="2:30">
      <c r="B1919" s="13">
        <f>B1918+1</f>
        <v>5</v>
      </c>
      <c r="C1919" s="74" t="s">
        <v>205</v>
      </c>
      <c r="D1919" s="74" t="s">
        <v>34</v>
      </c>
      <c r="E1919" s="204"/>
      <c r="F1919" s="204">
        <v>1</v>
      </c>
      <c r="G1919" s="535" t="s">
        <v>1845</v>
      </c>
      <c r="H1919" s="613">
        <v>0</v>
      </c>
      <c r="I1919" s="535" t="s">
        <v>1845</v>
      </c>
      <c r="J1919" s="15">
        <v>19000000</v>
      </c>
      <c r="K1919" s="99">
        <v>28000000</v>
      </c>
      <c r="L1919" s="13"/>
      <c r="M1919" s="17"/>
      <c r="N1919" s="17"/>
      <c r="O1919" s="17"/>
      <c r="P1919" s="17"/>
      <c r="Q1919" s="17"/>
      <c r="R1919" s="17"/>
      <c r="S1919" s="17"/>
      <c r="T1919" s="17"/>
      <c r="U1919" s="17"/>
      <c r="V1919" s="17"/>
      <c r="W1919" s="17"/>
      <c r="X1919" s="17"/>
      <c r="Y1919" s="53">
        <f t="shared" si="610"/>
        <v>100</v>
      </c>
      <c r="Z1919" s="53">
        <f t="shared" si="611"/>
        <v>100</v>
      </c>
      <c r="AA1919" s="22">
        <v>28000000</v>
      </c>
      <c r="AB1919" s="19">
        <f t="shared" si="613"/>
        <v>100</v>
      </c>
      <c r="AC1919" s="22">
        <f t="shared" si="612"/>
        <v>28000000</v>
      </c>
      <c r="AD1919" s="19">
        <f t="shared" si="614"/>
        <v>100</v>
      </c>
    </row>
    <row r="1920" spans="2:30" ht="29.25" customHeight="1">
      <c r="B1920" s="13">
        <f>B1919+1</f>
        <v>6</v>
      </c>
      <c r="C1920" s="123" t="s">
        <v>216</v>
      </c>
      <c r="D1920" s="21" t="s">
        <v>38</v>
      </c>
      <c r="E1920" s="204"/>
      <c r="F1920" s="204">
        <v>1</v>
      </c>
      <c r="G1920" s="535" t="s">
        <v>1845</v>
      </c>
      <c r="H1920" s="613">
        <v>0</v>
      </c>
      <c r="I1920" s="535" t="s">
        <v>1845</v>
      </c>
      <c r="J1920" s="15">
        <v>4000000</v>
      </c>
      <c r="K1920" s="99">
        <v>4000000</v>
      </c>
      <c r="L1920" s="13"/>
      <c r="M1920" s="17"/>
      <c r="N1920" s="17"/>
      <c r="O1920" s="17"/>
      <c r="P1920" s="17"/>
      <c r="Q1920" s="17"/>
      <c r="R1920" s="17"/>
      <c r="S1920" s="17"/>
      <c r="T1920" s="17"/>
      <c r="U1920" s="17"/>
      <c r="V1920" s="17"/>
      <c r="W1920" s="17"/>
      <c r="X1920" s="17"/>
      <c r="Y1920" s="53">
        <v>100</v>
      </c>
      <c r="Z1920" s="53">
        <v>100</v>
      </c>
      <c r="AA1920" s="22">
        <v>4000000</v>
      </c>
      <c r="AB1920" s="19">
        <f t="shared" si="613"/>
        <v>100</v>
      </c>
      <c r="AC1920" s="22">
        <f t="shared" si="612"/>
        <v>4000000</v>
      </c>
      <c r="AD1920" s="19">
        <f t="shared" si="614"/>
        <v>100</v>
      </c>
    </row>
    <row r="1921" spans="2:30">
      <c r="B1921" s="48"/>
      <c r="C1921" s="86" t="s">
        <v>1104</v>
      </c>
      <c r="D1921" s="86" t="s">
        <v>1105</v>
      </c>
      <c r="E1921" s="485"/>
      <c r="F1921" s="204"/>
      <c r="G1921" s="535"/>
      <c r="H1921" s="613"/>
      <c r="I1921" s="535"/>
      <c r="J1921" s="15"/>
      <c r="K1921" s="16"/>
      <c r="L1921" s="13"/>
      <c r="M1921" s="17"/>
      <c r="N1921" s="17"/>
      <c r="O1921" s="17"/>
      <c r="P1921" s="17"/>
      <c r="Q1921" s="17"/>
      <c r="R1921" s="17"/>
      <c r="S1921" s="17"/>
      <c r="T1921" s="17"/>
      <c r="U1921" s="17"/>
      <c r="V1921" s="17"/>
      <c r="W1921" s="17"/>
      <c r="X1921" s="17"/>
      <c r="Y1921" s="53"/>
      <c r="Z1921" s="53"/>
      <c r="AA1921" s="22">
        <v>0</v>
      </c>
      <c r="AB1921" s="19"/>
      <c r="AC1921" s="22"/>
      <c r="AD1921" s="19"/>
    </row>
    <row r="1922" spans="2:30">
      <c r="B1922" s="48">
        <v>7</v>
      </c>
      <c r="C1922" s="74" t="s">
        <v>306</v>
      </c>
      <c r="D1922" s="74" t="s">
        <v>1106</v>
      </c>
      <c r="E1922" s="204"/>
      <c r="F1922" s="489">
        <v>1</v>
      </c>
      <c r="G1922" s="611" t="s">
        <v>1845</v>
      </c>
      <c r="H1922" s="615">
        <v>0</v>
      </c>
      <c r="I1922" s="611" t="s">
        <v>1845</v>
      </c>
      <c r="J1922" s="15">
        <v>53280000</v>
      </c>
      <c r="K1922" s="99">
        <v>66780000</v>
      </c>
      <c r="L1922" s="13"/>
      <c r="M1922" s="17"/>
      <c r="N1922" s="17"/>
      <c r="O1922" s="17"/>
      <c r="P1922" s="17"/>
      <c r="Q1922" s="17"/>
      <c r="R1922" s="17"/>
      <c r="S1922" s="17"/>
      <c r="T1922" s="17"/>
      <c r="U1922" s="17"/>
      <c r="V1922" s="17"/>
      <c r="W1922" s="17"/>
      <c r="X1922" s="17"/>
      <c r="Y1922" s="53">
        <f t="shared" si="610"/>
        <v>97.56663671758011</v>
      </c>
      <c r="Z1922" s="53">
        <f t="shared" si="611"/>
        <v>97.56663671758011</v>
      </c>
      <c r="AA1922" s="22">
        <v>65155000</v>
      </c>
      <c r="AB1922" s="19">
        <f>AA1922/K1922*100</f>
        <v>97.56663671758011</v>
      </c>
      <c r="AC1922" s="22">
        <f t="shared" si="612"/>
        <v>65155000</v>
      </c>
      <c r="AD1922" s="19">
        <f>AC1922/K1922*100</f>
        <v>97.56663671758011</v>
      </c>
    </row>
    <row r="1923" spans="2:30">
      <c r="B1923" s="37">
        <v>141</v>
      </c>
      <c r="C1923" s="855" t="s">
        <v>1125</v>
      </c>
      <c r="D1923" s="855"/>
      <c r="E1923" s="483"/>
      <c r="F1923" s="483">
        <v>7</v>
      </c>
      <c r="G1923" s="567" t="s">
        <v>1845</v>
      </c>
      <c r="H1923" s="483">
        <f>SUM(H1916:H1922)</f>
        <v>0</v>
      </c>
      <c r="I1923" s="567" t="s">
        <v>1845</v>
      </c>
      <c r="J1923" s="208">
        <f>SUM(J1916:J1922)</f>
        <v>210251000</v>
      </c>
      <c r="K1923" s="208">
        <f>SUM(K1914:K1922)</f>
        <v>466876000</v>
      </c>
      <c r="L1923" s="37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38"/>
      <c r="Y1923" s="82">
        <f>SUM(Z1914:Z1922)/7</f>
        <v>99.065004952699454</v>
      </c>
      <c r="Z1923" s="82">
        <f>SUM(Z1914:Z1922)/7</f>
        <v>99.065004952699454</v>
      </c>
      <c r="AA1923" s="245">
        <f>SUM(AA1914:AA1922)</f>
        <v>461313204</v>
      </c>
      <c r="AB1923" s="82">
        <f>SUM(AB1914:AB1922)/7</f>
        <v>98.985987095556581</v>
      </c>
      <c r="AC1923" s="245">
        <f>SUM(AC1914:AC1922)</f>
        <v>461313204</v>
      </c>
      <c r="AD1923" s="82">
        <f>SUM(AD1914:AD1922)/7</f>
        <v>98.985987095556581</v>
      </c>
    </row>
    <row r="1924" spans="2:30">
      <c r="B1924" s="66"/>
      <c r="C1924" s="63" t="s">
        <v>1063</v>
      </c>
      <c r="D1924" s="64" t="s">
        <v>1126</v>
      </c>
      <c r="E1924" s="484"/>
      <c r="F1924" s="506">
        <f>6</f>
        <v>6</v>
      </c>
      <c r="G1924" s="611" t="s">
        <v>1845</v>
      </c>
      <c r="H1924" s="615">
        <v>0</v>
      </c>
      <c r="I1924" s="611" t="s">
        <v>1845</v>
      </c>
      <c r="J1924" s="65"/>
      <c r="K1924" s="65"/>
      <c r="L1924" s="66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  <c r="W1924" s="63"/>
      <c r="X1924" s="63"/>
      <c r="Y1924" s="63"/>
      <c r="Z1924" s="63"/>
      <c r="AA1924" s="63"/>
      <c r="AB1924" s="63"/>
      <c r="AC1924" s="63"/>
      <c r="AD1924" s="63"/>
    </row>
    <row r="1925" spans="2:30">
      <c r="B1925" s="66">
        <v>1</v>
      </c>
      <c r="C1925" s="63"/>
      <c r="D1925" s="683" t="s">
        <v>2119</v>
      </c>
      <c r="E1925" s="484"/>
      <c r="F1925" s="484"/>
      <c r="G1925" s="611"/>
      <c r="H1925" s="615"/>
      <c r="I1925" s="565"/>
      <c r="J1925" s="65"/>
      <c r="K1925" s="65">
        <v>50000000</v>
      </c>
      <c r="L1925" s="66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  <c r="W1925" s="63"/>
      <c r="X1925" s="63"/>
      <c r="Y1925" s="63">
        <v>100</v>
      </c>
      <c r="Z1925" s="63">
        <v>100</v>
      </c>
      <c r="AA1925" s="63">
        <v>49652563</v>
      </c>
      <c r="AB1925" s="63"/>
      <c r="AC1925" s="63"/>
      <c r="AD1925" s="63"/>
    </row>
    <row r="1926" spans="2:30" ht="27">
      <c r="B1926" s="13"/>
      <c r="C1926" s="86" t="s">
        <v>942</v>
      </c>
      <c r="D1926" s="86" t="s">
        <v>26</v>
      </c>
      <c r="E1926" s="485"/>
      <c r="F1926" s="485"/>
      <c r="G1926" s="441"/>
      <c r="H1926" s="87"/>
      <c r="I1926" s="87"/>
      <c r="J1926" s="209"/>
      <c r="K1926" s="16"/>
      <c r="L1926" s="13"/>
      <c r="M1926" s="17"/>
      <c r="N1926" s="17"/>
      <c r="O1926" s="17"/>
      <c r="P1926" s="17"/>
      <c r="Q1926" s="17"/>
      <c r="R1926" s="17"/>
      <c r="S1926" s="17"/>
      <c r="T1926" s="17"/>
      <c r="U1926" s="17"/>
      <c r="V1926" s="17"/>
      <c r="W1926" s="17"/>
      <c r="X1926" s="17"/>
      <c r="Y1926" s="17"/>
      <c r="Z1926" s="17"/>
      <c r="AA1926" s="17"/>
      <c r="AB1926" s="17"/>
      <c r="AC1926" s="17"/>
      <c r="AD1926" s="17"/>
    </row>
    <row r="1927" spans="2:30">
      <c r="B1927" s="13">
        <f>B1925+1</f>
        <v>2</v>
      </c>
      <c r="C1927" s="74" t="s">
        <v>203</v>
      </c>
      <c r="D1927" s="74" t="s">
        <v>28</v>
      </c>
      <c r="E1927" s="204"/>
      <c r="F1927" s="204">
        <v>1</v>
      </c>
      <c r="G1927" s="611" t="s">
        <v>1845</v>
      </c>
      <c r="H1927" s="615">
        <v>0</v>
      </c>
      <c r="I1927" s="611" t="s">
        <v>1845</v>
      </c>
      <c r="J1927" s="15">
        <v>73809000</v>
      </c>
      <c r="K1927" s="99">
        <v>153549000</v>
      </c>
      <c r="L1927" s="13"/>
      <c r="M1927" s="17"/>
      <c r="N1927" s="17"/>
      <c r="O1927" s="17"/>
      <c r="P1927" s="17"/>
      <c r="Q1927" s="17"/>
      <c r="R1927" s="17"/>
      <c r="S1927" s="17"/>
      <c r="T1927" s="17"/>
      <c r="U1927" s="17"/>
      <c r="V1927" s="17"/>
      <c r="W1927" s="17"/>
      <c r="X1927" s="17"/>
      <c r="Y1927" s="53">
        <v>93</v>
      </c>
      <c r="Z1927" s="53">
        <v>95</v>
      </c>
      <c r="AA1927" s="22">
        <v>126983374</v>
      </c>
      <c r="AB1927" s="19">
        <f>AA1927/K1927*100</f>
        <v>82.698926075715235</v>
      </c>
      <c r="AC1927" s="22">
        <f>AA1927</f>
        <v>126983374</v>
      </c>
      <c r="AD1927" s="19">
        <f>AC1927/K1927*100</f>
        <v>82.698926075715235</v>
      </c>
    </row>
    <row r="1928" spans="2:30">
      <c r="B1928" s="13">
        <f>B1927+1</f>
        <v>3</v>
      </c>
      <c r="C1928" s="74" t="s">
        <v>210</v>
      </c>
      <c r="D1928" s="74" t="s">
        <v>30</v>
      </c>
      <c r="E1928" s="204"/>
      <c r="F1928" s="204">
        <v>1</v>
      </c>
      <c r="G1928" s="611" t="s">
        <v>1845</v>
      </c>
      <c r="H1928" s="615">
        <v>0</v>
      </c>
      <c r="I1928" s="611" t="s">
        <v>1845</v>
      </c>
      <c r="J1928" s="15">
        <v>4965000</v>
      </c>
      <c r="K1928" s="99">
        <v>6365000</v>
      </c>
      <c r="L1928" s="13"/>
      <c r="M1928" s="17"/>
      <c r="N1928" s="17"/>
      <c r="O1928" s="17"/>
      <c r="P1928" s="17"/>
      <c r="Q1928" s="17"/>
      <c r="R1928" s="17"/>
      <c r="S1928" s="17"/>
      <c r="T1928" s="17"/>
      <c r="U1928" s="17"/>
      <c r="V1928" s="17"/>
      <c r="W1928" s="17"/>
      <c r="X1928" s="17"/>
      <c r="Y1928" s="53">
        <v>91</v>
      </c>
      <c r="Z1928" s="53">
        <v>89</v>
      </c>
      <c r="AA1928" s="22">
        <v>6315000</v>
      </c>
      <c r="AB1928" s="19">
        <f t="shared" ref="AB1928:AB1933" si="615">AA1928/K1928*100</f>
        <v>99.214454045561666</v>
      </c>
      <c r="AC1928" s="22">
        <f>AA1928</f>
        <v>6315000</v>
      </c>
      <c r="AD1928" s="19">
        <f t="shared" ref="AD1928:AD1933" si="616">AC1928/K1928*100</f>
        <v>99.214454045561666</v>
      </c>
    </row>
    <row r="1929" spans="2:30" ht="18.75" customHeight="1">
      <c r="B1929" s="13">
        <f t="shared" ref="B1929:B1931" si="617">B1928+1</f>
        <v>4</v>
      </c>
      <c r="C1929" s="74" t="s">
        <v>204</v>
      </c>
      <c r="D1929" s="74" t="s">
        <v>32</v>
      </c>
      <c r="E1929" s="204"/>
      <c r="F1929" s="204">
        <v>1</v>
      </c>
      <c r="G1929" s="611" t="s">
        <v>1845</v>
      </c>
      <c r="H1929" s="615">
        <v>0</v>
      </c>
      <c r="I1929" s="611" t="s">
        <v>1845</v>
      </c>
      <c r="J1929" s="15">
        <v>83949000</v>
      </c>
      <c r="K1929" s="99">
        <v>72399000</v>
      </c>
      <c r="L1929" s="13"/>
      <c r="M1929" s="17"/>
      <c r="N1929" s="17"/>
      <c r="O1929" s="17"/>
      <c r="P1929" s="17"/>
      <c r="Q1929" s="17"/>
      <c r="R1929" s="17"/>
      <c r="S1929" s="17"/>
      <c r="T1929" s="17"/>
      <c r="U1929" s="17"/>
      <c r="V1929" s="17"/>
      <c r="W1929" s="17"/>
      <c r="X1929" s="17"/>
      <c r="Y1929" s="53">
        <v>90</v>
      </c>
      <c r="Z1929" s="53">
        <v>88</v>
      </c>
      <c r="AA1929" s="22">
        <v>58427736</v>
      </c>
      <c r="AB1929" s="19">
        <f t="shared" si="615"/>
        <v>80.702407491816189</v>
      </c>
      <c r="AC1929" s="22">
        <f t="shared" ref="AC1929:AC1932" si="618">AA1929</f>
        <v>58427736</v>
      </c>
      <c r="AD1929" s="19">
        <f t="shared" si="616"/>
        <v>80.702407491816189</v>
      </c>
    </row>
    <row r="1930" spans="2:30" ht="19.5" customHeight="1">
      <c r="B1930" s="13">
        <f t="shared" si="617"/>
        <v>5</v>
      </c>
      <c r="C1930" s="74" t="s">
        <v>205</v>
      </c>
      <c r="D1930" s="74" t="s">
        <v>34</v>
      </c>
      <c r="E1930" s="204"/>
      <c r="F1930" s="204">
        <v>1</v>
      </c>
      <c r="G1930" s="611" t="s">
        <v>1845</v>
      </c>
      <c r="H1930" s="615">
        <v>0</v>
      </c>
      <c r="I1930" s="611" t="s">
        <v>1845</v>
      </c>
      <c r="J1930" s="15">
        <v>27050000</v>
      </c>
      <c r="K1930" s="99">
        <v>39200000</v>
      </c>
      <c r="L1930" s="13"/>
      <c r="M1930" s="17"/>
      <c r="N1930" s="17"/>
      <c r="O1930" s="17"/>
      <c r="P1930" s="17"/>
      <c r="Q1930" s="17"/>
      <c r="R1930" s="17"/>
      <c r="S1930" s="17"/>
      <c r="T1930" s="17"/>
      <c r="U1930" s="17"/>
      <c r="V1930" s="17"/>
      <c r="W1930" s="17"/>
      <c r="X1930" s="17"/>
      <c r="Y1930" s="53">
        <v>100</v>
      </c>
      <c r="Z1930" s="53">
        <v>100</v>
      </c>
      <c r="AA1930" s="22">
        <v>38950000</v>
      </c>
      <c r="AB1930" s="19">
        <f t="shared" si="615"/>
        <v>99.362244897959187</v>
      </c>
      <c r="AC1930" s="22">
        <f t="shared" si="618"/>
        <v>38950000</v>
      </c>
      <c r="AD1930" s="19">
        <f t="shared" si="616"/>
        <v>99.362244897959187</v>
      </c>
    </row>
    <row r="1931" spans="2:30" ht="32.25" customHeight="1">
      <c r="B1931" s="13">
        <f t="shared" si="617"/>
        <v>6</v>
      </c>
      <c r="C1931" s="123" t="s">
        <v>216</v>
      </c>
      <c r="D1931" s="21" t="s">
        <v>38</v>
      </c>
      <c r="E1931" s="485"/>
      <c r="F1931" s="485">
        <v>1</v>
      </c>
      <c r="G1931" s="611" t="s">
        <v>1845</v>
      </c>
      <c r="H1931" s="615">
        <v>0</v>
      </c>
      <c r="I1931" s="611" t="s">
        <v>1845</v>
      </c>
      <c r="J1931" s="15">
        <v>4000000</v>
      </c>
      <c r="K1931" s="99">
        <v>4000000</v>
      </c>
      <c r="L1931" s="13"/>
      <c r="M1931" s="17"/>
      <c r="N1931" s="17"/>
      <c r="O1931" s="17"/>
      <c r="P1931" s="17"/>
      <c r="Q1931" s="17"/>
      <c r="R1931" s="17"/>
      <c r="S1931" s="17"/>
      <c r="T1931" s="17"/>
      <c r="U1931" s="17"/>
      <c r="V1931" s="17"/>
      <c r="W1931" s="17"/>
      <c r="X1931" s="17"/>
      <c r="Y1931" s="53">
        <v>100</v>
      </c>
      <c r="Z1931" s="53">
        <v>100</v>
      </c>
      <c r="AA1931" s="22">
        <v>3790000</v>
      </c>
      <c r="AB1931" s="19">
        <f t="shared" si="615"/>
        <v>94.75</v>
      </c>
      <c r="AC1931" s="22">
        <f t="shared" si="618"/>
        <v>3790000</v>
      </c>
      <c r="AD1931" s="19">
        <f t="shared" si="616"/>
        <v>94.75</v>
      </c>
    </row>
    <row r="1932" spans="2:30" ht="19.5" customHeight="1">
      <c r="B1932" s="13"/>
      <c r="C1932" s="86" t="s">
        <v>1104</v>
      </c>
      <c r="D1932" s="86" t="s">
        <v>1105</v>
      </c>
      <c r="E1932" s="204"/>
      <c r="F1932" s="204"/>
      <c r="G1932" s="611"/>
      <c r="H1932" s="89"/>
      <c r="I1932" s="89"/>
      <c r="J1932" s="15"/>
      <c r="K1932" s="15"/>
      <c r="L1932" s="13"/>
      <c r="M1932" s="17"/>
      <c r="N1932" s="17"/>
      <c r="O1932" s="17"/>
      <c r="P1932" s="17"/>
      <c r="Q1932" s="17"/>
      <c r="R1932" s="17"/>
      <c r="S1932" s="17"/>
      <c r="T1932" s="17"/>
      <c r="U1932" s="17"/>
      <c r="V1932" s="17"/>
      <c r="W1932" s="17"/>
      <c r="X1932" s="17"/>
      <c r="Y1932" s="53"/>
      <c r="Z1932" s="53"/>
      <c r="AA1932" s="22"/>
      <c r="AB1932" s="19"/>
      <c r="AC1932" s="22">
        <f t="shared" si="618"/>
        <v>0</v>
      </c>
      <c r="AD1932" s="19"/>
    </row>
    <row r="1933" spans="2:30" ht="18" customHeight="1">
      <c r="B1933" s="45">
        <v>7</v>
      </c>
      <c r="C1933" s="74" t="s">
        <v>306</v>
      </c>
      <c r="D1933" s="74" t="s">
        <v>1106</v>
      </c>
      <c r="E1933" s="489"/>
      <c r="F1933" s="489">
        <v>1</v>
      </c>
      <c r="G1933" s="611" t="s">
        <v>1845</v>
      </c>
      <c r="H1933" s="615">
        <v>0</v>
      </c>
      <c r="I1933" s="611" t="s">
        <v>1845</v>
      </c>
      <c r="J1933" s="15">
        <v>43531000</v>
      </c>
      <c r="K1933" s="99">
        <v>59326000</v>
      </c>
      <c r="L1933" s="45"/>
      <c r="M1933" s="44"/>
      <c r="N1933" s="44"/>
      <c r="O1933" s="44"/>
      <c r="P1933" s="44"/>
      <c r="Q1933" s="44"/>
      <c r="R1933" s="44"/>
      <c r="S1933" s="44"/>
      <c r="T1933" s="44"/>
      <c r="U1933" s="44"/>
      <c r="V1933" s="44"/>
      <c r="W1933" s="44"/>
      <c r="X1933" s="44"/>
      <c r="Y1933" s="53">
        <v>90</v>
      </c>
      <c r="Z1933" s="53">
        <v>85</v>
      </c>
      <c r="AA1933" s="73">
        <v>59290500</v>
      </c>
      <c r="AB1933" s="19">
        <f t="shared" si="615"/>
        <v>99.940161143512114</v>
      </c>
      <c r="AC1933" s="73">
        <f>AA1933</f>
        <v>59290500</v>
      </c>
      <c r="AD1933" s="19">
        <f t="shared" si="616"/>
        <v>99.940161143512114</v>
      </c>
    </row>
    <row r="1934" spans="2:30" ht="18.75" customHeight="1">
      <c r="B1934" s="37">
        <v>142</v>
      </c>
      <c r="C1934" s="855" t="s">
        <v>1127</v>
      </c>
      <c r="D1934" s="855"/>
      <c r="E1934" s="483"/>
      <c r="F1934" s="483">
        <v>7</v>
      </c>
      <c r="G1934" s="567" t="s">
        <v>1845</v>
      </c>
      <c r="H1934" s="483">
        <f>SUM(H1927:H1933)</f>
        <v>0</v>
      </c>
      <c r="I1934" s="567" t="s">
        <v>1845</v>
      </c>
      <c r="J1934" s="208">
        <f>SUM(J1927:J1933)</f>
        <v>237304000</v>
      </c>
      <c r="K1934" s="208">
        <f>SUM(K1925:K1933)</f>
        <v>384839000</v>
      </c>
      <c r="L1934" s="37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38"/>
      <c r="Y1934" s="84">
        <f>SUM(Y1927:Y1933)/7</f>
        <v>80.571428571428569</v>
      </c>
      <c r="Z1934" s="84">
        <f>SUM(Z1927:Z1933)/7</f>
        <v>79.571428571428569</v>
      </c>
      <c r="AA1934" s="68">
        <f>SUM(AA1927:AA1933)</f>
        <v>293756610</v>
      </c>
      <c r="AB1934" s="84">
        <f>SUM(AB1927:AB1933)/7</f>
        <v>79.524027664937762</v>
      </c>
      <c r="AC1934" s="68">
        <f>SUM(AC1927:AC1933)</f>
        <v>293756610</v>
      </c>
      <c r="AD1934" s="84">
        <f>SUM(AD1927:AD1933)/7</f>
        <v>79.524027664937762</v>
      </c>
    </row>
    <row r="1935" spans="2:30">
      <c r="B1935" s="66"/>
      <c r="C1935" s="63" t="s">
        <v>947</v>
      </c>
      <c r="D1935" s="64" t="s">
        <v>1128</v>
      </c>
      <c r="E1935" s="484"/>
      <c r="F1935" s="506">
        <v>7</v>
      </c>
      <c r="G1935" s="611" t="s">
        <v>1845</v>
      </c>
      <c r="H1935" s="615">
        <v>0</v>
      </c>
      <c r="I1935" s="611" t="s">
        <v>1845</v>
      </c>
      <c r="J1935" s="65"/>
      <c r="K1935" s="65"/>
      <c r="L1935" s="66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  <c r="W1935" s="63"/>
      <c r="X1935" s="63"/>
      <c r="Y1935" s="63"/>
      <c r="Z1935" s="63"/>
      <c r="AA1935" s="63"/>
      <c r="AB1935" s="63"/>
      <c r="AC1935" s="63"/>
      <c r="AD1935" s="63"/>
    </row>
    <row r="1936" spans="2:30" ht="27">
      <c r="B1936" s="66"/>
      <c r="C1936" s="246">
        <v>16.021000000000001</v>
      </c>
      <c r="D1936" s="86" t="s">
        <v>544</v>
      </c>
      <c r="E1936" s="484"/>
      <c r="F1936" s="484"/>
      <c r="G1936" s="472"/>
      <c r="H1936" s="242"/>
      <c r="I1936" s="242"/>
      <c r="J1936" s="65"/>
      <c r="K1936" s="65"/>
      <c r="L1936" s="66"/>
      <c r="M1936" s="63" t="s">
        <v>1</v>
      </c>
      <c r="N1936" s="63"/>
      <c r="O1936" s="63"/>
      <c r="P1936" s="63"/>
      <c r="Q1936" s="63"/>
      <c r="R1936" s="63"/>
      <c r="S1936" s="63"/>
      <c r="T1936" s="63"/>
      <c r="U1936" s="63"/>
      <c r="V1936" s="63"/>
      <c r="W1936" s="63"/>
      <c r="X1936" s="63"/>
      <c r="Y1936" s="63"/>
      <c r="Z1936" s="63"/>
      <c r="AA1936" s="63"/>
      <c r="AB1936" s="63"/>
      <c r="AC1936" s="63"/>
      <c r="AD1936" s="63"/>
    </row>
    <row r="1937" spans="2:30" ht="25.5">
      <c r="B1937" s="66">
        <v>1</v>
      </c>
      <c r="C1937" s="247" t="s">
        <v>1129</v>
      </c>
      <c r="D1937" s="21" t="s">
        <v>1130</v>
      </c>
      <c r="E1937" s="484"/>
      <c r="F1937" s="484">
        <v>1</v>
      </c>
      <c r="G1937" s="611" t="s">
        <v>1845</v>
      </c>
      <c r="H1937" s="615">
        <v>0</v>
      </c>
      <c r="I1937" s="611" t="s">
        <v>1845</v>
      </c>
      <c r="J1937" s="15">
        <v>211470000</v>
      </c>
      <c r="K1937" s="15">
        <v>211470000</v>
      </c>
      <c r="L1937" s="66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  <c r="W1937" s="63"/>
      <c r="X1937" s="63"/>
      <c r="Y1937" s="134">
        <v>100</v>
      </c>
      <c r="Z1937" s="134">
        <f>AD1937</f>
        <v>94.079964061096135</v>
      </c>
      <c r="AA1937" s="135">
        <v>198950900</v>
      </c>
      <c r="AB1937" s="98">
        <f>AA1937/K1937*100</f>
        <v>94.079964061096135</v>
      </c>
      <c r="AC1937" s="135">
        <f>AA1937</f>
        <v>198950900</v>
      </c>
      <c r="AD1937" s="98">
        <f>AC1937/K1937*100</f>
        <v>94.079964061096135</v>
      </c>
    </row>
    <row r="1938" spans="2:30" ht="27">
      <c r="B1938" s="13"/>
      <c r="C1938" s="86" t="s">
        <v>942</v>
      </c>
      <c r="D1938" s="86" t="s">
        <v>26</v>
      </c>
      <c r="E1938" s="485"/>
      <c r="F1938" s="485"/>
      <c r="G1938" s="441"/>
      <c r="H1938" s="87"/>
      <c r="I1938" s="87"/>
      <c r="J1938" s="209"/>
      <c r="K1938" s="16"/>
      <c r="L1938" s="13"/>
      <c r="M1938" s="17"/>
      <c r="N1938" s="17"/>
      <c r="O1938" s="17"/>
      <c r="P1938" s="17"/>
      <c r="Q1938" s="17"/>
      <c r="R1938" s="17"/>
      <c r="S1938" s="17"/>
      <c r="T1938" s="17"/>
      <c r="U1938" s="17"/>
      <c r="V1938" s="17"/>
      <c r="W1938" s="17"/>
      <c r="X1938" s="17"/>
      <c r="Y1938" s="17"/>
      <c r="Z1938" s="17"/>
      <c r="AA1938" s="17"/>
      <c r="AB1938" s="98"/>
      <c r="AC1938" s="17"/>
      <c r="AD1938" s="98"/>
    </row>
    <row r="1939" spans="2:30">
      <c r="B1939" s="13">
        <v>2</v>
      </c>
      <c r="C1939" s="74" t="s">
        <v>203</v>
      </c>
      <c r="D1939" s="74" t="s">
        <v>28</v>
      </c>
      <c r="E1939" s="204"/>
      <c r="F1939" s="204">
        <v>1</v>
      </c>
      <c r="G1939" s="611" t="s">
        <v>1845</v>
      </c>
      <c r="H1939" s="615">
        <v>0</v>
      </c>
      <c r="I1939" s="611" t="s">
        <v>1845</v>
      </c>
      <c r="J1939" s="15">
        <v>61475000</v>
      </c>
      <c r="K1939" s="99">
        <v>131645000</v>
      </c>
      <c r="L1939" s="13"/>
      <c r="M1939" s="17"/>
      <c r="N1939" s="17"/>
      <c r="O1939" s="17"/>
      <c r="P1939" s="17"/>
      <c r="Q1939" s="17"/>
      <c r="R1939" s="17"/>
      <c r="S1939" s="17"/>
      <c r="T1939" s="17"/>
      <c r="U1939" s="17"/>
      <c r="V1939" s="17"/>
      <c r="W1939" s="17"/>
      <c r="X1939" s="17"/>
      <c r="Y1939" s="19">
        <f>AB1939</f>
        <v>88.594404648866259</v>
      </c>
      <c r="Z1939" s="19">
        <f>AD1939</f>
        <v>88.594404648866259</v>
      </c>
      <c r="AA1939" s="22">
        <v>116630104</v>
      </c>
      <c r="AB1939" s="98">
        <f t="shared" ref="AB1939:AB1945" si="619">AA1939/K1939*100</f>
        <v>88.594404648866259</v>
      </c>
      <c r="AC1939" s="20">
        <f>AA1939</f>
        <v>116630104</v>
      </c>
      <c r="AD1939" s="98">
        <f t="shared" ref="AD1939:AD1945" si="620">AC1939/K1939*100</f>
        <v>88.594404648866259</v>
      </c>
    </row>
    <row r="1940" spans="2:30">
      <c r="B1940" s="13">
        <v>3</v>
      </c>
      <c r="C1940" s="74" t="s">
        <v>210</v>
      </c>
      <c r="D1940" s="74" t="s">
        <v>30</v>
      </c>
      <c r="E1940" s="204"/>
      <c r="F1940" s="204">
        <v>1</v>
      </c>
      <c r="G1940" s="611" t="s">
        <v>1845</v>
      </c>
      <c r="H1940" s="615">
        <v>0</v>
      </c>
      <c r="I1940" s="611" t="s">
        <v>1845</v>
      </c>
      <c r="J1940" s="15">
        <v>4090000</v>
      </c>
      <c r="K1940" s="99">
        <v>4090000</v>
      </c>
      <c r="L1940" s="13"/>
      <c r="M1940" s="17"/>
      <c r="N1940" s="17"/>
      <c r="O1940" s="17"/>
      <c r="P1940" s="17"/>
      <c r="Q1940" s="17"/>
      <c r="R1940" s="17"/>
      <c r="S1940" s="17"/>
      <c r="T1940" s="17"/>
      <c r="U1940" s="17"/>
      <c r="V1940" s="17"/>
      <c r="W1940" s="17"/>
      <c r="X1940" s="17"/>
      <c r="Y1940" s="19">
        <f t="shared" ref="Y1940:Y1945" si="621">AB1940</f>
        <v>98.288508557457206</v>
      </c>
      <c r="Z1940" s="19">
        <f t="shared" ref="Z1940:Z1945" si="622">AD1940</f>
        <v>98.288508557457206</v>
      </c>
      <c r="AA1940" s="22">
        <v>4020000</v>
      </c>
      <c r="AB1940" s="98">
        <f t="shared" si="619"/>
        <v>98.288508557457206</v>
      </c>
      <c r="AC1940" s="20">
        <f t="shared" ref="AC1940:AC1945" si="623">AA1940</f>
        <v>4020000</v>
      </c>
      <c r="AD1940" s="98">
        <f t="shared" si="620"/>
        <v>98.288508557457206</v>
      </c>
    </row>
    <row r="1941" spans="2:30">
      <c r="B1941" s="13">
        <v>4</v>
      </c>
      <c r="C1941" s="74" t="s">
        <v>204</v>
      </c>
      <c r="D1941" s="74" t="s">
        <v>32</v>
      </c>
      <c r="E1941" s="204"/>
      <c r="F1941" s="204">
        <v>1</v>
      </c>
      <c r="G1941" s="611" t="s">
        <v>1845</v>
      </c>
      <c r="H1941" s="615">
        <v>0</v>
      </c>
      <c r="I1941" s="611" t="s">
        <v>1845</v>
      </c>
      <c r="J1941" s="15">
        <v>51655000</v>
      </c>
      <c r="K1941" s="99">
        <v>103655000</v>
      </c>
      <c r="L1941" s="13"/>
      <c r="M1941" s="17"/>
      <c r="N1941" s="17"/>
      <c r="O1941" s="17"/>
      <c r="P1941" s="17"/>
      <c r="Q1941" s="17"/>
      <c r="R1941" s="17"/>
      <c r="S1941" s="17"/>
      <c r="T1941" s="17"/>
      <c r="U1941" s="17"/>
      <c r="V1941" s="17"/>
      <c r="W1941" s="17"/>
      <c r="X1941" s="17"/>
      <c r="Y1941" s="19">
        <f t="shared" si="621"/>
        <v>83.686797549563451</v>
      </c>
      <c r="Z1941" s="19">
        <f t="shared" si="622"/>
        <v>83.686797549563451</v>
      </c>
      <c r="AA1941" s="22">
        <v>86745550</v>
      </c>
      <c r="AB1941" s="98">
        <f t="shared" si="619"/>
        <v>83.686797549563451</v>
      </c>
      <c r="AC1941" s="20">
        <f t="shared" si="623"/>
        <v>86745550</v>
      </c>
      <c r="AD1941" s="98">
        <f t="shared" si="620"/>
        <v>83.686797549563451</v>
      </c>
    </row>
    <row r="1942" spans="2:30">
      <c r="B1942" s="13">
        <v>5</v>
      </c>
      <c r="C1942" s="74" t="s">
        <v>205</v>
      </c>
      <c r="D1942" s="74" t="s">
        <v>34</v>
      </c>
      <c r="E1942" s="204"/>
      <c r="F1942" s="204">
        <v>1</v>
      </c>
      <c r="G1942" s="611" t="s">
        <v>1845</v>
      </c>
      <c r="H1942" s="615">
        <v>0</v>
      </c>
      <c r="I1942" s="611" t="s">
        <v>1845</v>
      </c>
      <c r="J1942" s="15">
        <v>68877000</v>
      </c>
      <c r="K1942" s="99">
        <v>76377000</v>
      </c>
      <c r="L1942" s="13"/>
      <c r="M1942" s="17"/>
      <c r="N1942" s="17"/>
      <c r="O1942" s="17"/>
      <c r="P1942" s="17"/>
      <c r="Q1942" s="17"/>
      <c r="R1942" s="17"/>
      <c r="S1942" s="17"/>
      <c r="T1942" s="17"/>
      <c r="U1942" s="17"/>
      <c r="V1942" s="17"/>
      <c r="W1942" s="17"/>
      <c r="X1942" s="17"/>
      <c r="Y1942" s="19">
        <f t="shared" si="621"/>
        <v>99.761708367702312</v>
      </c>
      <c r="Z1942" s="19">
        <f t="shared" si="622"/>
        <v>99.761708367702312</v>
      </c>
      <c r="AA1942" s="22">
        <f>5000000+9990000+12340000+3560000+43305000+2000000</f>
        <v>76195000</v>
      </c>
      <c r="AB1942" s="98">
        <f t="shared" si="619"/>
        <v>99.761708367702312</v>
      </c>
      <c r="AC1942" s="20">
        <f t="shared" si="623"/>
        <v>76195000</v>
      </c>
      <c r="AD1942" s="98">
        <f t="shared" si="620"/>
        <v>99.761708367702312</v>
      </c>
    </row>
    <row r="1943" spans="2:30" ht="25.5">
      <c r="B1943" s="13">
        <v>6</v>
      </c>
      <c r="C1943" s="123" t="s">
        <v>216</v>
      </c>
      <c r="D1943" s="21" t="s">
        <v>38</v>
      </c>
      <c r="E1943" s="485"/>
      <c r="F1943" s="485">
        <v>1</v>
      </c>
      <c r="G1943" s="611" t="s">
        <v>1845</v>
      </c>
      <c r="H1943" s="615">
        <v>0</v>
      </c>
      <c r="I1943" s="611" t="s">
        <v>1845</v>
      </c>
      <c r="J1943" s="15">
        <v>4000000</v>
      </c>
      <c r="K1943" s="99">
        <v>4000000</v>
      </c>
      <c r="L1943" s="13"/>
      <c r="M1943" s="17"/>
      <c r="N1943" s="17"/>
      <c r="O1943" s="17"/>
      <c r="P1943" s="17"/>
      <c r="Q1943" s="17"/>
      <c r="R1943" s="17"/>
      <c r="S1943" s="17"/>
      <c r="T1943" s="17"/>
      <c r="U1943" s="17"/>
      <c r="V1943" s="17"/>
      <c r="W1943" s="17"/>
      <c r="X1943" s="17"/>
      <c r="Y1943" s="19">
        <f t="shared" si="621"/>
        <v>100</v>
      </c>
      <c r="Z1943" s="19">
        <f t="shared" si="622"/>
        <v>100</v>
      </c>
      <c r="AA1943" s="22">
        <v>4000000</v>
      </c>
      <c r="AB1943" s="98">
        <f t="shared" si="619"/>
        <v>100</v>
      </c>
      <c r="AC1943" s="20">
        <f t="shared" si="623"/>
        <v>4000000</v>
      </c>
      <c r="AD1943" s="98">
        <f t="shared" si="620"/>
        <v>100</v>
      </c>
    </row>
    <row r="1944" spans="2:30" ht="16.5">
      <c r="B1944" s="13"/>
      <c r="C1944" s="86" t="s">
        <v>1104</v>
      </c>
      <c r="D1944" s="86" t="s">
        <v>1105</v>
      </c>
      <c r="E1944" s="204"/>
      <c r="F1944" s="204"/>
      <c r="G1944" s="193"/>
      <c r="H1944" s="89"/>
      <c r="I1944" s="89"/>
      <c r="J1944" s="248"/>
      <c r="K1944" s="25"/>
      <c r="L1944" s="13"/>
      <c r="M1944" s="17"/>
      <c r="N1944" s="17"/>
      <c r="O1944" s="17"/>
      <c r="P1944" s="17"/>
      <c r="Q1944" s="17"/>
      <c r="R1944" s="17"/>
      <c r="S1944" s="17"/>
      <c r="T1944" s="17"/>
      <c r="U1944" s="17"/>
      <c r="V1944" s="17"/>
      <c r="W1944" s="17"/>
      <c r="X1944" s="17"/>
      <c r="Y1944" s="19">
        <f t="shared" si="621"/>
        <v>0</v>
      </c>
      <c r="Z1944" s="19">
        <f t="shared" si="622"/>
        <v>0</v>
      </c>
      <c r="AA1944" s="22"/>
      <c r="AB1944" s="98"/>
      <c r="AC1944" s="20">
        <f t="shared" si="623"/>
        <v>0</v>
      </c>
      <c r="AD1944" s="98"/>
    </row>
    <row r="1945" spans="2:30">
      <c r="B1945" s="45">
        <v>7</v>
      </c>
      <c r="C1945" s="74" t="s">
        <v>306</v>
      </c>
      <c r="D1945" s="74" t="s">
        <v>1106</v>
      </c>
      <c r="E1945" s="489"/>
      <c r="F1945" s="489">
        <v>1</v>
      </c>
      <c r="G1945" s="611" t="s">
        <v>1845</v>
      </c>
      <c r="H1945" s="615">
        <v>0</v>
      </c>
      <c r="I1945" s="611" t="s">
        <v>1845</v>
      </c>
      <c r="J1945" s="15">
        <v>51695000</v>
      </c>
      <c r="K1945" s="99">
        <v>65197000</v>
      </c>
      <c r="L1945" s="45"/>
      <c r="M1945" s="44"/>
      <c r="N1945" s="44"/>
      <c r="O1945" s="44"/>
      <c r="P1945" s="44"/>
      <c r="Q1945" s="44"/>
      <c r="R1945" s="44"/>
      <c r="S1945" s="44"/>
      <c r="T1945" s="44"/>
      <c r="U1945" s="44"/>
      <c r="V1945" s="44"/>
      <c r="W1945" s="44"/>
      <c r="X1945" s="44"/>
      <c r="Y1945" s="19">
        <f t="shared" si="621"/>
        <v>93.21456508735065</v>
      </c>
      <c r="Z1945" s="19">
        <f t="shared" si="622"/>
        <v>93.21456508735065</v>
      </c>
      <c r="AA1945" s="73">
        <v>60773100</v>
      </c>
      <c r="AB1945" s="98">
        <f t="shared" si="619"/>
        <v>93.21456508735065</v>
      </c>
      <c r="AC1945" s="100">
        <f t="shared" si="623"/>
        <v>60773100</v>
      </c>
      <c r="AD1945" s="98">
        <f t="shared" si="620"/>
        <v>93.21456508735065</v>
      </c>
    </row>
    <row r="1946" spans="2:30">
      <c r="B1946" s="37">
        <v>143</v>
      </c>
      <c r="C1946" s="855" t="s">
        <v>1131</v>
      </c>
      <c r="D1946" s="855"/>
      <c r="E1946" s="483"/>
      <c r="F1946" s="483">
        <f>SUM(F1937:F1945)</f>
        <v>7</v>
      </c>
      <c r="G1946" s="567" t="s">
        <v>1845</v>
      </c>
      <c r="H1946" s="483">
        <f>SUM(H1939:H1945)</f>
        <v>0</v>
      </c>
      <c r="I1946" s="567" t="s">
        <v>1845</v>
      </c>
      <c r="J1946" s="208">
        <f>SUM(J1937:J1945)</f>
        <v>453262000</v>
      </c>
      <c r="K1946" s="208">
        <f>SUM(K1937:K1945)</f>
        <v>596434000</v>
      </c>
      <c r="L1946" s="37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  <c r="X1946" s="38"/>
      <c r="Y1946" s="84">
        <f>SUM(Y1937:Y1945)/7</f>
        <v>94.792283458705697</v>
      </c>
      <c r="Z1946" s="84">
        <f>SUM(Z1937:Z1945)/7</f>
        <v>93.946564038862263</v>
      </c>
      <c r="AA1946" s="68">
        <f>SUM(AA1937:AA1945)</f>
        <v>547314654</v>
      </c>
      <c r="AB1946" s="84">
        <f>SUM(AB1937:AB1945)/7</f>
        <v>93.946564038862263</v>
      </c>
      <c r="AC1946" s="68">
        <f>SUM(AC1937:AC1945)</f>
        <v>547314654</v>
      </c>
      <c r="AD1946" s="84">
        <f>SUM(AD1937:AD1945)/7</f>
        <v>93.946564038862263</v>
      </c>
    </row>
    <row r="1947" spans="2:30">
      <c r="B1947" s="66"/>
      <c r="C1947" s="63" t="s">
        <v>972</v>
      </c>
      <c r="D1947" s="64" t="s">
        <v>1132</v>
      </c>
      <c r="E1947" s="484"/>
      <c r="F1947" s="506">
        <v>7</v>
      </c>
      <c r="G1947" s="611" t="s">
        <v>1845</v>
      </c>
      <c r="H1947" s="615">
        <v>0</v>
      </c>
      <c r="I1947" s="611" t="s">
        <v>1845</v>
      </c>
      <c r="J1947" s="65"/>
      <c r="K1947" s="65"/>
      <c r="L1947" s="66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  <c r="W1947" s="63"/>
      <c r="X1947" s="63"/>
      <c r="Y1947" s="63"/>
      <c r="Z1947" s="63"/>
      <c r="AA1947" s="63"/>
      <c r="AB1947" s="63"/>
      <c r="AC1947" s="63"/>
      <c r="AD1947" s="63"/>
    </row>
    <row r="1948" spans="2:30" ht="27">
      <c r="B1948" s="66"/>
      <c r="C1948" s="247" t="s">
        <v>1133</v>
      </c>
      <c r="D1948" s="86" t="s">
        <v>544</v>
      </c>
      <c r="E1948" s="484"/>
      <c r="F1948" s="484"/>
      <c r="G1948" s="472"/>
      <c r="H1948" s="242"/>
      <c r="I1948" s="242"/>
      <c r="J1948" s="65"/>
      <c r="K1948" s="65"/>
      <c r="L1948" s="66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  <c r="W1948" s="63"/>
      <c r="X1948" s="63"/>
      <c r="Y1948" s="63"/>
      <c r="Z1948" s="63"/>
      <c r="AA1948" s="63"/>
      <c r="AB1948" s="63"/>
      <c r="AC1948" s="63"/>
      <c r="AD1948" s="63"/>
    </row>
    <row r="1949" spans="2:30" ht="25.5">
      <c r="B1949" s="66">
        <v>1</v>
      </c>
      <c r="C1949" s="247" t="s">
        <v>1134</v>
      </c>
      <c r="D1949" s="21" t="s">
        <v>1135</v>
      </c>
      <c r="E1949" s="484"/>
      <c r="F1949" s="484">
        <v>1</v>
      </c>
      <c r="G1949" s="611" t="s">
        <v>1845</v>
      </c>
      <c r="H1949" s="242">
        <v>0</v>
      </c>
      <c r="I1949" s="611" t="s">
        <v>1845</v>
      </c>
      <c r="J1949" s="15">
        <v>194550000</v>
      </c>
      <c r="K1949" s="99">
        <v>194550000</v>
      </c>
      <c r="L1949" s="66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  <c r="W1949" s="63"/>
      <c r="X1949" s="63"/>
      <c r="Y1949" s="137">
        <f>AB1949</f>
        <v>99.590850681058853</v>
      </c>
      <c r="Z1949" s="134">
        <f>AD1949</f>
        <v>99.590850681058853</v>
      </c>
      <c r="AA1949" s="135">
        <v>193754000</v>
      </c>
      <c r="AB1949" s="137">
        <f>AA1949/K1949*100</f>
        <v>99.590850681058853</v>
      </c>
      <c r="AC1949" s="135">
        <f>AA1949</f>
        <v>193754000</v>
      </c>
      <c r="AD1949" s="137">
        <f>AC1949/K1949*100</f>
        <v>99.590850681058853</v>
      </c>
    </row>
    <row r="1950" spans="2:30">
      <c r="B1950" s="66">
        <v>2</v>
      </c>
      <c r="C1950" s="247">
        <v>21.024000000000001</v>
      </c>
      <c r="D1950" s="58" t="s">
        <v>2118</v>
      </c>
      <c r="E1950" s="484"/>
      <c r="F1950" s="484"/>
      <c r="G1950" s="611"/>
      <c r="H1950" s="242"/>
      <c r="I1950" s="565"/>
      <c r="J1950" s="15"/>
      <c r="K1950" s="99">
        <v>200000000</v>
      </c>
      <c r="L1950" s="66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  <c r="W1950" s="63"/>
      <c r="X1950" s="63"/>
      <c r="Y1950" s="137">
        <f>AB1950</f>
        <v>99.784499999999994</v>
      </c>
      <c r="Z1950" s="134">
        <f>AD1950</f>
        <v>99.784499999999994</v>
      </c>
      <c r="AA1950" s="135">
        <v>199569000</v>
      </c>
      <c r="AB1950" s="137">
        <f>AA1950/K1950*100</f>
        <v>99.784499999999994</v>
      </c>
      <c r="AC1950" s="135">
        <f>AA1950</f>
        <v>199569000</v>
      </c>
      <c r="AD1950" s="137">
        <f>AC1950/K1950*100</f>
        <v>99.784499999999994</v>
      </c>
    </row>
    <row r="1951" spans="2:30" ht="27">
      <c r="B1951" s="13"/>
      <c r="C1951" s="86" t="s">
        <v>942</v>
      </c>
      <c r="D1951" s="86" t="s">
        <v>26</v>
      </c>
      <c r="E1951" s="485"/>
      <c r="F1951" s="485"/>
      <c r="G1951" s="441"/>
      <c r="H1951" s="87"/>
      <c r="I1951" s="87"/>
      <c r="J1951" s="209"/>
      <c r="K1951" s="16"/>
      <c r="L1951" s="13"/>
      <c r="M1951" s="17"/>
      <c r="N1951" s="17"/>
      <c r="O1951" s="17"/>
      <c r="P1951" s="17"/>
      <c r="Q1951" s="17"/>
      <c r="R1951" s="17"/>
      <c r="S1951" s="17"/>
      <c r="T1951" s="17"/>
      <c r="U1951" s="17"/>
      <c r="V1951" s="17"/>
      <c r="W1951" s="17"/>
      <c r="X1951" s="63"/>
      <c r="Y1951" s="137"/>
      <c r="Z1951" s="63"/>
      <c r="AA1951" s="17"/>
      <c r="AB1951" s="17"/>
      <c r="AC1951" s="17"/>
      <c r="AD1951" s="17"/>
    </row>
    <row r="1952" spans="2:30">
      <c r="B1952" s="13">
        <v>3</v>
      </c>
      <c r="C1952" s="74" t="s">
        <v>203</v>
      </c>
      <c r="D1952" s="74" t="s">
        <v>28</v>
      </c>
      <c r="E1952" s="204"/>
      <c r="F1952" s="204">
        <v>1</v>
      </c>
      <c r="G1952" s="611" t="s">
        <v>1845</v>
      </c>
      <c r="H1952" s="615">
        <v>0</v>
      </c>
      <c r="I1952" s="611" t="s">
        <v>1845</v>
      </c>
      <c r="J1952" s="15">
        <v>53032000</v>
      </c>
      <c r="K1952" s="99">
        <v>101002000</v>
      </c>
      <c r="L1952" s="13"/>
      <c r="M1952" s="17"/>
      <c r="N1952" s="17"/>
      <c r="O1952" s="17"/>
      <c r="P1952" s="17"/>
      <c r="Q1952" s="17"/>
      <c r="R1952" s="17"/>
      <c r="S1952" s="17"/>
      <c r="T1952" s="17"/>
      <c r="U1952" s="17"/>
      <c r="V1952" s="17"/>
      <c r="W1952" s="17"/>
      <c r="X1952" s="63"/>
      <c r="Y1952" s="134">
        <f t="shared" ref="Y1952:Y1958" si="624">AB1952</f>
        <v>92.819401596008007</v>
      </c>
      <c r="Z1952" s="134">
        <f t="shared" ref="Z1952:Z1958" si="625">AD1952</f>
        <v>92.819401596008007</v>
      </c>
      <c r="AA1952" s="22">
        <v>93749452</v>
      </c>
      <c r="AB1952" s="98">
        <f>AA1952/K1952*100</f>
        <v>92.819401596008007</v>
      </c>
      <c r="AC1952" s="20">
        <f>AA1952</f>
        <v>93749452</v>
      </c>
      <c r="AD1952" s="98">
        <f>AC1952/K1952*100</f>
        <v>92.819401596008007</v>
      </c>
    </row>
    <row r="1953" spans="2:30">
      <c r="B1953" s="13">
        <f>B1952+1</f>
        <v>4</v>
      </c>
      <c r="C1953" s="74" t="s">
        <v>210</v>
      </c>
      <c r="D1953" s="74" t="s">
        <v>30</v>
      </c>
      <c r="E1953" s="204"/>
      <c r="F1953" s="204">
        <v>1</v>
      </c>
      <c r="G1953" s="611" t="s">
        <v>1845</v>
      </c>
      <c r="H1953" s="615">
        <v>0</v>
      </c>
      <c r="I1953" s="611" t="s">
        <v>1845</v>
      </c>
      <c r="J1953" s="15">
        <v>13065000</v>
      </c>
      <c r="K1953" s="99">
        <v>16110000</v>
      </c>
      <c r="L1953" s="13"/>
      <c r="M1953" s="17"/>
      <c r="N1953" s="17"/>
      <c r="O1953" s="17"/>
      <c r="P1953" s="17"/>
      <c r="Q1953" s="17"/>
      <c r="R1953" s="17"/>
      <c r="S1953" s="17"/>
      <c r="T1953" s="17"/>
      <c r="U1953" s="17"/>
      <c r="V1953" s="17"/>
      <c r="W1953" s="17"/>
      <c r="X1953" s="63"/>
      <c r="Y1953" s="134">
        <f t="shared" si="624"/>
        <v>97.020484171322167</v>
      </c>
      <c r="Z1953" s="134">
        <f t="shared" si="625"/>
        <v>97.020484171322167</v>
      </c>
      <c r="AA1953" s="22">
        <v>15630000</v>
      </c>
      <c r="AB1953" s="98">
        <f t="shared" ref="AB1953:AB1958" si="626">AA1953/K1953*100</f>
        <v>97.020484171322167</v>
      </c>
      <c r="AC1953" s="20">
        <f t="shared" ref="AC1953:AC1958" si="627">AA1953</f>
        <v>15630000</v>
      </c>
      <c r="AD1953" s="98">
        <f t="shared" ref="AD1953:AD1958" si="628">AC1953/K1953*100</f>
        <v>97.020484171322167</v>
      </c>
    </row>
    <row r="1954" spans="2:30">
      <c r="B1954" s="13">
        <f>B1953+1</f>
        <v>5</v>
      </c>
      <c r="C1954" s="74" t="s">
        <v>204</v>
      </c>
      <c r="D1954" s="74" t="s">
        <v>32</v>
      </c>
      <c r="E1954" s="204"/>
      <c r="F1954" s="204">
        <v>1</v>
      </c>
      <c r="G1954" s="611" t="s">
        <v>1845</v>
      </c>
      <c r="H1954" s="615">
        <v>0</v>
      </c>
      <c r="I1954" s="611" t="s">
        <v>1845</v>
      </c>
      <c r="J1954" s="15">
        <v>73471000</v>
      </c>
      <c r="K1954" s="99">
        <v>78161000</v>
      </c>
      <c r="L1954" s="13"/>
      <c r="M1954" s="17"/>
      <c r="N1954" s="17"/>
      <c r="O1954" s="17"/>
      <c r="P1954" s="17"/>
      <c r="Q1954" s="17"/>
      <c r="R1954" s="17"/>
      <c r="S1954" s="17"/>
      <c r="T1954" s="17"/>
      <c r="U1954" s="17"/>
      <c r="V1954" s="17"/>
      <c r="W1954" s="17"/>
      <c r="X1954" s="63"/>
      <c r="Y1954" s="134">
        <f t="shared" si="624"/>
        <v>97.998202428321036</v>
      </c>
      <c r="Z1954" s="134">
        <f t="shared" si="625"/>
        <v>97.998202428321036</v>
      </c>
      <c r="AA1954" s="22">
        <v>76596375</v>
      </c>
      <c r="AB1954" s="98">
        <f t="shared" si="626"/>
        <v>97.998202428321036</v>
      </c>
      <c r="AC1954" s="20">
        <f t="shared" si="627"/>
        <v>76596375</v>
      </c>
      <c r="AD1954" s="98">
        <f t="shared" si="628"/>
        <v>97.998202428321036</v>
      </c>
    </row>
    <row r="1955" spans="2:30">
      <c r="B1955" s="13">
        <f>B1954+1</f>
        <v>6</v>
      </c>
      <c r="C1955" s="74" t="s">
        <v>205</v>
      </c>
      <c r="D1955" s="74" t="s">
        <v>34</v>
      </c>
      <c r="E1955" s="204"/>
      <c r="F1955" s="489">
        <v>1</v>
      </c>
      <c r="G1955" s="611" t="s">
        <v>1845</v>
      </c>
      <c r="H1955" s="615">
        <v>0</v>
      </c>
      <c r="I1955" s="611" t="s">
        <v>1845</v>
      </c>
      <c r="J1955" s="15">
        <v>26150000</v>
      </c>
      <c r="K1955" s="99">
        <v>40150000</v>
      </c>
      <c r="L1955" s="13"/>
      <c r="M1955" s="17"/>
      <c r="N1955" s="17"/>
      <c r="O1955" s="17"/>
      <c r="P1955" s="17"/>
      <c r="Q1955" s="17"/>
      <c r="R1955" s="17"/>
      <c r="S1955" s="17"/>
      <c r="T1955" s="17"/>
      <c r="U1955" s="17"/>
      <c r="V1955" s="17"/>
      <c r="W1955" s="17"/>
      <c r="X1955" s="63"/>
      <c r="Y1955" s="134">
        <f t="shared" si="624"/>
        <v>98.256537982565391</v>
      </c>
      <c r="Z1955" s="134">
        <f t="shared" si="625"/>
        <v>98.256537982565391</v>
      </c>
      <c r="AA1955" s="22">
        <v>39450000</v>
      </c>
      <c r="AB1955" s="98">
        <f t="shared" si="626"/>
        <v>98.256537982565391</v>
      </c>
      <c r="AC1955" s="20">
        <f t="shared" si="627"/>
        <v>39450000</v>
      </c>
      <c r="AD1955" s="98">
        <f t="shared" si="628"/>
        <v>98.256537982565391</v>
      </c>
    </row>
    <row r="1956" spans="2:30" ht="25.5">
      <c r="B1956" s="13">
        <f>B1955+1</f>
        <v>7</v>
      </c>
      <c r="C1956" s="123" t="s">
        <v>216</v>
      </c>
      <c r="D1956" s="21" t="s">
        <v>38</v>
      </c>
      <c r="E1956" s="485"/>
      <c r="F1956" s="204">
        <v>1</v>
      </c>
      <c r="G1956" s="59" t="s">
        <v>1845</v>
      </c>
      <c r="H1956" s="613">
        <v>0</v>
      </c>
      <c r="I1956" s="59" t="s">
        <v>1845</v>
      </c>
      <c r="J1956" s="15">
        <v>4000000</v>
      </c>
      <c r="K1956" s="99">
        <v>4000000</v>
      </c>
      <c r="L1956" s="13"/>
      <c r="M1956" s="17"/>
      <c r="N1956" s="17"/>
      <c r="O1956" s="17"/>
      <c r="P1956" s="17"/>
      <c r="Q1956" s="17"/>
      <c r="R1956" s="17"/>
      <c r="S1956" s="17"/>
      <c r="T1956" s="17"/>
      <c r="U1956" s="17"/>
      <c r="V1956" s="17"/>
      <c r="W1956" s="17"/>
      <c r="X1956" s="63"/>
      <c r="Y1956" s="134">
        <f t="shared" si="624"/>
        <v>100</v>
      </c>
      <c r="Z1956" s="134">
        <f t="shared" si="625"/>
        <v>100</v>
      </c>
      <c r="AA1956" s="22">
        <v>4000000</v>
      </c>
      <c r="AB1956" s="98">
        <f t="shared" si="626"/>
        <v>100</v>
      </c>
      <c r="AC1956" s="20">
        <f t="shared" si="627"/>
        <v>4000000</v>
      </c>
      <c r="AD1956" s="98">
        <f t="shared" si="628"/>
        <v>100</v>
      </c>
    </row>
    <row r="1957" spans="2:30" ht="16.5">
      <c r="B1957" s="13"/>
      <c r="C1957" s="86" t="s">
        <v>1104</v>
      </c>
      <c r="D1957" s="86" t="s">
        <v>1105</v>
      </c>
      <c r="E1957" s="204"/>
      <c r="F1957" s="204"/>
      <c r="G1957" s="59"/>
      <c r="H1957" s="613"/>
      <c r="I1957" s="59"/>
      <c r="J1957" s="248"/>
      <c r="K1957" s="25"/>
      <c r="L1957" s="13"/>
      <c r="M1957" s="17"/>
      <c r="N1957" s="17"/>
      <c r="O1957" s="17"/>
      <c r="P1957" s="17"/>
      <c r="Q1957" s="17"/>
      <c r="R1957" s="17"/>
      <c r="S1957" s="17"/>
      <c r="T1957" s="17"/>
      <c r="U1957" s="17"/>
      <c r="V1957" s="17"/>
      <c r="W1957" s="17"/>
      <c r="X1957" s="63"/>
      <c r="Y1957" s="134"/>
      <c r="Z1957" s="134"/>
      <c r="AA1957" s="22"/>
      <c r="AB1957" s="98"/>
      <c r="AC1957" s="20">
        <f t="shared" si="627"/>
        <v>0</v>
      </c>
      <c r="AD1957" s="98"/>
    </row>
    <row r="1958" spans="2:30">
      <c r="B1958" s="45">
        <v>8</v>
      </c>
      <c r="C1958" s="74" t="s">
        <v>306</v>
      </c>
      <c r="D1958" s="74" t="s">
        <v>1106</v>
      </c>
      <c r="E1958" s="489"/>
      <c r="F1958" s="489">
        <v>1</v>
      </c>
      <c r="G1958" s="611" t="s">
        <v>1845</v>
      </c>
      <c r="H1958" s="626">
        <v>0</v>
      </c>
      <c r="I1958" s="611" t="s">
        <v>1845</v>
      </c>
      <c r="J1958" s="15">
        <v>50038000</v>
      </c>
      <c r="K1958" s="99">
        <v>58463000</v>
      </c>
      <c r="L1958" s="45"/>
      <c r="M1958" s="44"/>
      <c r="N1958" s="44"/>
      <c r="O1958" s="44"/>
      <c r="P1958" s="44"/>
      <c r="Q1958" s="44"/>
      <c r="R1958" s="44"/>
      <c r="S1958" s="44"/>
      <c r="T1958" s="44"/>
      <c r="U1958" s="44"/>
      <c r="V1958" s="44"/>
      <c r="W1958" s="44"/>
      <c r="X1958" s="51"/>
      <c r="Y1958" s="134">
        <f t="shared" si="624"/>
        <v>96.321605117766794</v>
      </c>
      <c r="Z1958" s="134">
        <f t="shared" si="625"/>
        <v>96.321605117766794</v>
      </c>
      <c r="AA1958" s="73">
        <v>56312500</v>
      </c>
      <c r="AB1958" s="98">
        <f t="shared" si="626"/>
        <v>96.321605117766794</v>
      </c>
      <c r="AC1958" s="100">
        <f t="shared" si="627"/>
        <v>56312500</v>
      </c>
      <c r="AD1958" s="98">
        <f t="shared" si="628"/>
        <v>96.321605117766794</v>
      </c>
    </row>
    <row r="1959" spans="2:30">
      <c r="B1959" s="37">
        <v>144</v>
      </c>
      <c r="C1959" s="855" t="s">
        <v>1136</v>
      </c>
      <c r="D1959" s="855"/>
      <c r="E1959" s="483"/>
      <c r="F1959" s="483">
        <v>8</v>
      </c>
      <c r="G1959" s="567" t="s">
        <v>1845</v>
      </c>
      <c r="H1959" s="483">
        <f>SUM(H1949:H1958)</f>
        <v>0</v>
      </c>
      <c r="I1959" s="567" t="s">
        <v>1845</v>
      </c>
      <c r="J1959" s="208">
        <f>SUM(J1949:J1958)</f>
        <v>414306000</v>
      </c>
      <c r="K1959" s="208">
        <f>SUM(K1949:K1958)</f>
        <v>692436000</v>
      </c>
      <c r="L1959" s="37"/>
      <c r="M1959" s="38"/>
      <c r="N1959" s="38"/>
      <c r="O1959" s="38"/>
      <c r="P1959" s="38"/>
      <c r="Q1959" s="38"/>
      <c r="R1959" s="38"/>
      <c r="S1959" s="38"/>
      <c r="T1959" s="38"/>
      <c r="U1959" s="38"/>
      <c r="V1959" s="38"/>
      <c r="W1959" s="38"/>
      <c r="X1959" s="38"/>
      <c r="Y1959" s="42">
        <f>SUM(Y1952:Y1958)/7</f>
        <v>83.202318756569056</v>
      </c>
      <c r="Z1959" s="42">
        <f>SUM(Z1952:Z1958)/7</f>
        <v>83.202318756569056</v>
      </c>
      <c r="AA1959" s="67">
        <f>SUM(AA1949:AA1958)</f>
        <v>679061327</v>
      </c>
      <c r="AB1959" s="84">
        <f>SUM(AB1952:AB1958)/7</f>
        <v>83.202318756569056</v>
      </c>
      <c r="AC1959" s="68">
        <f>SUM(AC1949:AC1958)</f>
        <v>679061327</v>
      </c>
      <c r="AD1959" s="84">
        <f>SUM(AD1952:AD1958)/7</f>
        <v>83.202318756569056</v>
      </c>
    </row>
    <row r="1960" spans="2:30">
      <c r="B1960" s="66"/>
      <c r="C1960" s="63" t="s">
        <v>1066</v>
      </c>
      <c r="D1960" s="64" t="s">
        <v>1137</v>
      </c>
      <c r="E1960" s="484"/>
      <c r="F1960" s="684"/>
      <c r="G1960" s="611" t="s">
        <v>1845</v>
      </c>
      <c r="H1960" s="615">
        <v>0</v>
      </c>
      <c r="I1960" s="611" t="s">
        <v>1845</v>
      </c>
      <c r="J1960" s="65"/>
      <c r="K1960" s="65"/>
      <c r="L1960" s="66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  <c r="W1960" s="63"/>
      <c r="X1960" s="63"/>
      <c r="Y1960" s="63"/>
      <c r="Z1960" s="63"/>
      <c r="AA1960" s="63"/>
      <c r="AB1960" s="63"/>
      <c r="AC1960" s="63"/>
      <c r="AD1960" s="63"/>
    </row>
    <row r="1961" spans="2:30">
      <c r="B1961" s="66">
        <v>1</v>
      </c>
      <c r="C1961" s="63"/>
      <c r="D1961" s="683" t="s">
        <v>2118</v>
      </c>
      <c r="E1961" s="484"/>
      <c r="F1961" s="484"/>
      <c r="G1961" s="611"/>
      <c r="H1961" s="615"/>
      <c r="I1961" s="565"/>
      <c r="J1961" s="65"/>
      <c r="K1961" s="65">
        <v>108000000</v>
      </c>
      <c r="L1961" s="66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  <c r="W1961" s="63"/>
      <c r="X1961" s="63"/>
      <c r="Y1961" s="63">
        <f>AB1961</f>
        <v>99.963888888888889</v>
      </c>
      <c r="Z1961" s="136">
        <f>AD1961</f>
        <v>99.963888888888889</v>
      </c>
      <c r="AA1961" s="63">
        <v>107961000</v>
      </c>
      <c r="AB1961" s="114">
        <f>AA1961/K1961*100</f>
        <v>99.963888888888889</v>
      </c>
      <c r="AC1961" s="63">
        <f>AA1961</f>
        <v>107961000</v>
      </c>
      <c r="AD1961" s="98">
        <f>AC1961/K1961*100</f>
        <v>99.963888888888889</v>
      </c>
    </row>
    <row r="1962" spans="2:30" ht="27">
      <c r="B1962" s="13"/>
      <c r="C1962" s="86" t="s">
        <v>942</v>
      </c>
      <c r="D1962" s="86" t="s">
        <v>26</v>
      </c>
      <c r="E1962" s="485"/>
      <c r="F1962" s="485"/>
      <c r="G1962" s="441"/>
      <c r="H1962" s="87"/>
      <c r="I1962" s="87"/>
      <c r="J1962" s="209"/>
      <c r="K1962" s="16"/>
      <c r="L1962" s="13"/>
      <c r="M1962" s="17"/>
      <c r="N1962" s="17"/>
      <c r="O1962" s="17"/>
      <c r="P1962" s="17"/>
      <c r="Q1962" s="17"/>
      <c r="R1962" s="17"/>
      <c r="S1962" s="17"/>
      <c r="T1962" s="17"/>
      <c r="U1962" s="17"/>
      <c r="V1962" s="17"/>
      <c r="W1962" s="17"/>
      <c r="X1962" s="17"/>
      <c r="Y1962" s="17"/>
      <c r="Z1962" s="17"/>
      <c r="AA1962" s="17"/>
      <c r="AB1962" s="17"/>
      <c r="AC1962" s="17"/>
      <c r="AD1962" s="17"/>
    </row>
    <row r="1963" spans="2:30">
      <c r="B1963" s="13">
        <f>B1961+1</f>
        <v>2</v>
      </c>
      <c r="C1963" s="74" t="s">
        <v>203</v>
      </c>
      <c r="D1963" s="74" t="s">
        <v>28</v>
      </c>
      <c r="E1963" s="204"/>
      <c r="F1963" s="204">
        <v>1</v>
      </c>
      <c r="G1963" s="611" t="s">
        <v>1845</v>
      </c>
      <c r="H1963" s="615">
        <v>0</v>
      </c>
      <c r="I1963" s="611" t="s">
        <v>1845</v>
      </c>
      <c r="J1963" s="15">
        <v>58842000</v>
      </c>
      <c r="K1963" s="25">
        <v>112033000</v>
      </c>
      <c r="L1963" s="13"/>
      <c r="M1963" s="17"/>
      <c r="N1963" s="17"/>
      <c r="O1963" s="17"/>
      <c r="P1963" s="17"/>
      <c r="Q1963" s="17"/>
      <c r="R1963" s="17"/>
      <c r="S1963" s="17"/>
      <c r="T1963" s="17"/>
      <c r="U1963" s="17"/>
      <c r="V1963" s="17"/>
      <c r="W1963" s="17"/>
      <c r="X1963" s="17"/>
      <c r="Y1963" s="98">
        <f>AB1963</f>
        <v>93.083724438335139</v>
      </c>
      <c r="Z1963" s="98">
        <f>AD1963</f>
        <v>93.083724438335139</v>
      </c>
      <c r="AA1963" s="22">
        <v>104284489</v>
      </c>
      <c r="AB1963" s="114">
        <f>AA1963/K1963*100</f>
        <v>93.083724438335139</v>
      </c>
      <c r="AC1963" s="22">
        <f>AA1963</f>
        <v>104284489</v>
      </c>
      <c r="AD1963" s="98">
        <f>AC1963/K1963*100</f>
        <v>93.083724438335139</v>
      </c>
    </row>
    <row r="1964" spans="2:30">
      <c r="B1964" s="13">
        <f>B1963+1</f>
        <v>3</v>
      </c>
      <c r="C1964" s="74" t="s">
        <v>210</v>
      </c>
      <c r="D1964" s="74" t="s">
        <v>30</v>
      </c>
      <c r="E1964" s="204"/>
      <c r="F1964" s="204">
        <v>1</v>
      </c>
      <c r="G1964" s="59" t="s">
        <v>1845</v>
      </c>
      <c r="H1964" s="613">
        <v>0</v>
      </c>
      <c r="I1964" s="59" t="s">
        <v>1845</v>
      </c>
      <c r="J1964" s="15">
        <v>11400000</v>
      </c>
      <c r="K1964" s="25">
        <v>13910000</v>
      </c>
      <c r="L1964" s="13"/>
      <c r="M1964" s="17"/>
      <c r="N1964" s="17"/>
      <c r="O1964" s="17"/>
      <c r="P1964" s="17"/>
      <c r="Q1964" s="17"/>
      <c r="R1964" s="17"/>
      <c r="S1964" s="17"/>
      <c r="T1964" s="17"/>
      <c r="U1964" s="17"/>
      <c r="V1964" s="17"/>
      <c r="W1964" s="17"/>
      <c r="X1964" s="17"/>
      <c r="Y1964" s="98">
        <f t="shared" ref="Y1964:Y1969" si="629">AB1964</f>
        <v>98.382458662832491</v>
      </c>
      <c r="Z1964" s="98">
        <f t="shared" ref="Z1964:Z1969" si="630">AD1964</f>
        <v>98.382458662832491</v>
      </c>
      <c r="AA1964" s="22">
        <v>13685000</v>
      </c>
      <c r="AB1964" s="114">
        <f t="shared" ref="AB1964:AB1969" si="631">AA1964/K1964*100</f>
        <v>98.382458662832491</v>
      </c>
      <c r="AC1964" s="22">
        <f t="shared" ref="AC1964:AC1969" si="632">AA1964</f>
        <v>13685000</v>
      </c>
      <c r="AD1964" s="98">
        <f t="shared" ref="AD1964:AD1969" si="633">AC1964/K1964*100</f>
        <v>98.382458662832491</v>
      </c>
    </row>
    <row r="1965" spans="2:30">
      <c r="B1965" s="13">
        <f t="shared" ref="B1965:B1967" si="634">B1964+1</f>
        <v>4</v>
      </c>
      <c r="C1965" s="74" t="s">
        <v>204</v>
      </c>
      <c r="D1965" s="74" t="s">
        <v>32</v>
      </c>
      <c r="E1965" s="204"/>
      <c r="F1965" s="204">
        <v>1</v>
      </c>
      <c r="G1965" s="59" t="s">
        <v>1845</v>
      </c>
      <c r="H1965" s="613">
        <v>0</v>
      </c>
      <c r="I1965" s="59" t="s">
        <v>1845</v>
      </c>
      <c r="J1965" s="15">
        <v>92196000</v>
      </c>
      <c r="K1965" s="25">
        <v>97488000</v>
      </c>
      <c r="L1965" s="13"/>
      <c r="M1965" s="17"/>
      <c r="N1965" s="17"/>
      <c r="O1965" s="17"/>
      <c r="P1965" s="17"/>
      <c r="Q1965" s="17"/>
      <c r="R1965" s="17"/>
      <c r="S1965" s="17"/>
      <c r="T1965" s="17"/>
      <c r="U1965" s="17"/>
      <c r="V1965" s="17"/>
      <c r="W1965" s="17"/>
      <c r="X1965" s="17"/>
      <c r="Y1965" s="98">
        <f t="shared" si="629"/>
        <v>99.161282414245861</v>
      </c>
      <c r="Z1965" s="98">
        <f t="shared" si="630"/>
        <v>99.161282414245861</v>
      </c>
      <c r="AA1965" s="22">
        <v>96670351</v>
      </c>
      <c r="AB1965" s="114">
        <f t="shared" si="631"/>
        <v>99.161282414245861</v>
      </c>
      <c r="AC1965" s="22">
        <f t="shared" si="632"/>
        <v>96670351</v>
      </c>
      <c r="AD1965" s="98">
        <f t="shared" si="633"/>
        <v>99.161282414245861</v>
      </c>
    </row>
    <row r="1966" spans="2:30">
      <c r="B1966" s="13">
        <f t="shared" si="634"/>
        <v>5</v>
      </c>
      <c r="C1966" s="74" t="s">
        <v>205</v>
      </c>
      <c r="D1966" s="74" t="s">
        <v>34</v>
      </c>
      <c r="E1966" s="204"/>
      <c r="F1966" s="204">
        <v>1</v>
      </c>
      <c r="G1966" s="59" t="s">
        <v>1845</v>
      </c>
      <c r="H1966" s="613">
        <v>0</v>
      </c>
      <c r="I1966" s="59" t="s">
        <v>1845</v>
      </c>
      <c r="J1966" s="15">
        <v>34415000</v>
      </c>
      <c r="K1966" s="25">
        <v>38660000</v>
      </c>
      <c r="L1966" s="13"/>
      <c r="M1966" s="17"/>
      <c r="N1966" s="17"/>
      <c r="O1966" s="17"/>
      <c r="P1966" s="17"/>
      <c r="Q1966" s="17"/>
      <c r="R1966" s="17"/>
      <c r="S1966" s="17"/>
      <c r="T1966" s="17"/>
      <c r="U1966" s="17"/>
      <c r="V1966" s="17"/>
      <c r="W1966" s="17"/>
      <c r="X1966" s="17"/>
      <c r="Y1966" s="98">
        <f t="shared" si="629"/>
        <v>100</v>
      </c>
      <c r="Z1966" s="98">
        <f t="shared" si="630"/>
        <v>100</v>
      </c>
      <c r="AA1966" s="20">
        <v>38660000</v>
      </c>
      <c r="AB1966" s="114">
        <f t="shared" si="631"/>
        <v>100</v>
      </c>
      <c r="AC1966" s="22">
        <f t="shared" si="632"/>
        <v>38660000</v>
      </c>
      <c r="AD1966" s="98">
        <f t="shared" si="633"/>
        <v>100</v>
      </c>
    </row>
    <row r="1967" spans="2:30" ht="25.5">
      <c r="B1967" s="13">
        <f t="shared" si="634"/>
        <v>6</v>
      </c>
      <c r="C1967" s="123" t="s">
        <v>216</v>
      </c>
      <c r="D1967" s="21" t="s">
        <v>38</v>
      </c>
      <c r="E1967" s="485"/>
      <c r="F1967" s="204">
        <v>1</v>
      </c>
      <c r="G1967" s="59" t="s">
        <v>1845</v>
      </c>
      <c r="H1967" s="613">
        <v>0</v>
      </c>
      <c r="I1967" s="59" t="s">
        <v>1845</v>
      </c>
      <c r="J1967" s="15">
        <v>4000000</v>
      </c>
      <c r="K1967" s="25">
        <v>4000000</v>
      </c>
      <c r="L1967" s="13"/>
      <c r="M1967" s="17"/>
      <c r="N1967" s="17"/>
      <c r="O1967" s="17"/>
      <c r="P1967" s="17"/>
      <c r="Q1967" s="17"/>
      <c r="R1967" s="17"/>
      <c r="S1967" s="17"/>
      <c r="T1967" s="17"/>
      <c r="U1967" s="17"/>
      <c r="V1967" s="17"/>
      <c r="W1967" s="17"/>
      <c r="X1967" s="17"/>
      <c r="Y1967" s="98">
        <f t="shared" si="629"/>
        <v>99.934375000000003</v>
      </c>
      <c r="Z1967" s="98">
        <f t="shared" si="630"/>
        <v>99.934375000000003</v>
      </c>
      <c r="AA1967" s="20">
        <v>3997375</v>
      </c>
      <c r="AB1967" s="114">
        <f t="shared" si="631"/>
        <v>99.934375000000003</v>
      </c>
      <c r="AC1967" s="22">
        <f t="shared" si="632"/>
        <v>3997375</v>
      </c>
      <c r="AD1967" s="98">
        <f t="shared" si="633"/>
        <v>99.934375000000003</v>
      </c>
    </row>
    <row r="1968" spans="2:30">
      <c r="B1968" s="13"/>
      <c r="C1968" s="86" t="s">
        <v>1104</v>
      </c>
      <c r="D1968" s="86" t="s">
        <v>1105</v>
      </c>
      <c r="E1968" s="204"/>
      <c r="F1968" s="204"/>
      <c r="G1968" s="611"/>
      <c r="H1968" s="626"/>
      <c r="I1968" s="611"/>
      <c r="J1968" s="15"/>
      <c r="K1968" s="25"/>
      <c r="L1968" s="13"/>
      <c r="M1968" s="17"/>
      <c r="N1968" s="17"/>
      <c r="O1968" s="17"/>
      <c r="P1968" s="17"/>
      <c r="Q1968" s="17"/>
      <c r="R1968" s="17"/>
      <c r="S1968" s="17"/>
      <c r="T1968" s="17"/>
      <c r="U1968" s="17"/>
      <c r="V1968" s="17"/>
      <c r="W1968" s="17"/>
      <c r="X1968" s="17"/>
      <c r="Y1968" s="98"/>
      <c r="Z1968" s="98"/>
      <c r="AA1968" s="20"/>
      <c r="AB1968" s="114"/>
      <c r="AC1968" s="22"/>
      <c r="AD1968" s="98"/>
    </row>
    <row r="1969" spans="2:30">
      <c r="B1969" s="45">
        <v>7</v>
      </c>
      <c r="C1969" s="74" t="s">
        <v>306</v>
      </c>
      <c r="D1969" s="74" t="s">
        <v>1106</v>
      </c>
      <c r="E1969" s="489"/>
      <c r="F1969" s="489">
        <v>1</v>
      </c>
      <c r="G1969" s="611" t="s">
        <v>1845</v>
      </c>
      <c r="H1969" s="615">
        <v>0</v>
      </c>
      <c r="I1969" s="611" t="s">
        <v>1845</v>
      </c>
      <c r="J1969" s="15">
        <v>42738000</v>
      </c>
      <c r="K1969" s="34">
        <v>54960000</v>
      </c>
      <c r="L1969" s="45"/>
      <c r="M1969" s="44"/>
      <c r="N1969" s="44"/>
      <c r="O1969" s="44"/>
      <c r="P1969" s="44"/>
      <c r="Q1969" s="44"/>
      <c r="R1969" s="44"/>
      <c r="S1969" s="44"/>
      <c r="T1969" s="44"/>
      <c r="U1969" s="44"/>
      <c r="V1969" s="44"/>
      <c r="W1969" s="44"/>
      <c r="X1969" s="44"/>
      <c r="Y1969" s="98">
        <f t="shared" si="629"/>
        <v>99.766921397379917</v>
      </c>
      <c r="Z1969" s="98">
        <f t="shared" si="630"/>
        <v>99.766921397379917</v>
      </c>
      <c r="AA1969" s="100">
        <v>54831900</v>
      </c>
      <c r="AB1969" s="114">
        <f t="shared" si="631"/>
        <v>99.766921397379917</v>
      </c>
      <c r="AC1969" s="22">
        <f t="shared" si="632"/>
        <v>54831900</v>
      </c>
      <c r="AD1969" s="98">
        <f t="shared" si="633"/>
        <v>99.766921397379917</v>
      </c>
    </row>
    <row r="1970" spans="2:30">
      <c r="B1970" s="37">
        <v>145</v>
      </c>
      <c r="C1970" s="855" t="s">
        <v>1138</v>
      </c>
      <c r="D1970" s="855"/>
      <c r="E1970" s="483"/>
      <c r="F1970" s="483">
        <v>7</v>
      </c>
      <c r="G1970" s="567" t="s">
        <v>1845</v>
      </c>
      <c r="H1970" s="483">
        <f>SUM(H1963:H1969)</f>
        <v>0</v>
      </c>
      <c r="I1970" s="567" t="s">
        <v>1845</v>
      </c>
      <c r="J1970" s="208">
        <f>SUM(J1963:J1969)</f>
        <v>243591000</v>
      </c>
      <c r="K1970" s="208">
        <f>SUM(K1961:K1969)</f>
        <v>429051000</v>
      </c>
      <c r="L1970" s="37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8"/>
      <c r="Y1970" s="84">
        <f>SUM(Y1961:Y1969)/7</f>
        <v>98.613235828811767</v>
      </c>
      <c r="Z1970" s="84">
        <f>SUM(Z1961:Z1969)/7</f>
        <v>98.613235828811767</v>
      </c>
      <c r="AA1970" s="68">
        <f>SUM(AA1961:AA1969)</f>
        <v>420090115</v>
      </c>
      <c r="AB1970" s="84">
        <f>SUM(AB1961:AB1969)/7</f>
        <v>98.613235828811767</v>
      </c>
      <c r="AC1970" s="68">
        <f>SUM(AC1961:AC1969)</f>
        <v>420090115</v>
      </c>
      <c r="AD1970" s="84">
        <f>SUM(AD1961:AD1969)/7</f>
        <v>98.613235828811767</v>
      </c>
    </row>
    <row r="1971" spans="2:30">
      <c r="B1971" s="66"/>
      <c r="C1971" s="63" t="s">
        <v>828</v>
      </c>
      <c r="D1971" s="64" t="s">
        <v>1139</v>
      </c>
      <c r="E1971" s="484"/>
      <c r="F1971" s="484"/>
      <c r="G1971" s="611" t="s">
        <v>1845</v>
      </c>
      <c r="H1971" s="615">
        <v>0</v>
      </c>
      <c r="I1971" s="611" t="s">
        <v>1845</v>
      </c>
      <c r="J1971" s="65"/>
      <c r="K1971" s="65"/>
      <c r="L1971" s="66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  <c r="W1971" s="63"/>
      <c r="X1971" s="63"/>
      <c r="Y1971" s="63"/>
      <c r="Z1971" s="63"/>
      <c r="AA1971" s="63"/>
      <c r="AB1971" s="63"/>
      <c r="AC1971" s="63"/>
      <c r="AD1971" s="63"/>
    </row>
    <row r="1972" spans="2:30">
      <c r="B1972" s="66">
        <v>1</v>
      </c>
      <c r="C1972" s="63">
        <v>21.49</v>
      </c>
      <c r="D1972" s="58" t="s">
        <v>2341</v>
      </c>
      <c r="E1972" s="484"/>
      <c r="F1972" s="484"/>
      <c r="G1972" s="611"/>
      <c r="H1972" s="615"/>
      <c r="I1972" s="565"/>
      <c r="J1972" s="65"/>
      <c r="K1972" s="99">
        <v>110000000</v>
      </c>
      <c r="L1972" s="66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  <c r="W1972" s="63"/>
      <c r="X1972" s="63"/>
      <c r="Y1972" s="63">
        <v>100</v>
      </c>
      <c r="Z1972" s="63">
        <v>100</v>
      </c>
      <c r="AA1972" s="135">
        <v>109258250</v>
      </c>
      <c r="AB1972" s="19">
        <f>AA1972/K1972*100</f>
        <v>99.32568181818182</v>
      </c>
      <c r="AC1972" s="137">
        <f>AA1972</f>
        <v>109258250</v>
      </c>
      <c r="AD1972" s="19">
        <f>AC1972/K1972*100</f>
        <v>99.32568181818182</v>
      </c>
    </row>
    <row r="1973" spans="2:30" ht="27">
      <c r="B1973" s="13"/>
      <c r="C1973" s="86" t="s">
        <v>942</v>
      </c>
      <c r="D1973" s="86" t="s">
        <v>26</v>
      </c>
      <c r="E1973" s="485"/>
      <c r="F1973" s="485"/>
      <c r="G1973" s="441"/>
      <c r="H1973" s="87"/>
      <c r="I1973" s="87"/>
      <c r="J1973" s="209"/>
      <c r="K1973" s="16"/>
      <c r="L1973" s="13"/>
      <c r="M1973" s="17"/>
      <c r="N1973" s="17"/>
      <c r="O1973" s="17"/>
      <c r="P1973" s="17"/>
      <c r="Q1973" s="17"/>
      <c r="R1973" s="17"/>
      <c r="S1973" s="17"/>
      <c r="T1973" s="17"/>
      <c r="U1973" s="17"/>
      <c r="V1973" s="17"/>
      <c r="W1973" s="17"/>
      <c r="X1973" s="17"/>
      <c r="Y1973" s="17"/>
      <c r="Z1973" s="17"/>
      <c r="AA1973" s="17" t="s">
        <v>1</v>
      </c>
      <c r="AB1973" s="17"/>
      <c r="AC1973" s="17" t="s">
        <v>1</v>
      </c>
      <c r="AD1973" s="17"/>
    </row>
    <row r="1974" spans="2:30">
      <c r="B1974" s="13">
        <v>2</v>
      </c>
      <c r="C1974" s="74" t="s">
        <v>203</v>
      </c>
      <c r="D1974" s="74" t="s">
        <v>28</v>
      </c>
      <c r="E1974" s="204"/>
      <c r="F1974" s="204">
        <v>1</v>
      </c>
      <c r="G1974" s="59" t="s">
        <v>1845</v>
      </c>
      <c r="H1974" s="613">
        <v>0</v>
      </c>
      <c r="I1974" s="59" t="s">
        <v>1845</v>
      </c>
      <c r="J1974" s="15">
        <v>66760000</v>
      </c>
      <c r="K1974" s="99">
        <v>141512000</v>
      </c>
      <c r="L1974" s="13"/>
      <c r="M1974" s="17"/>
      <c r="N1974" s="17"/>
      <c r="O1974" s="17"/>
      <c r="P1974" s="17"/>
      <c r="Q1974" s="17"/>
      <c r="R1974" s="17"/>
      <c r="S1974" s="17"/>
      <c r="T1974" s="17"/>
      <c r="U1974" s="17"/>
      <c r="V1974" s="17"/>
      <c r="W1974" s="17"/>
      <c r="X1974" s="17"/>
      <c r="Y1974" s="53">
        <f>AB1974</f>
        <v>86.234920006783881</v>
      </c>
      <c r="Z1974" s="53">
        <f>AD1974</f>
        <v>86.234920006783881</v>
      </c>
      <c r="AA1974" s="22">
        <v>122032760</v>
      </c>
      <c r="AB1974" s="19">
        <f>AA1974/K1974*100</f>
        <v>86.234920006783881</v>
      </c>
      <c r="AC1974" s="22">
        <f>AA1974</f>
        <v>122032760</v>
      </c>
      <c r="AD1974" s="19">
        <f>AC1974/K1974*100</f>
        <v>86.234920006783881</v>
      </c>
    </row>
    <row r="1975" spans="2:30">
      <c r="B1975" s="13">
        <v>3</v>
      </c>
      <c r="C1975" s="74" t="s">
        <v>210</v>
      </c>
      <c r="D1975" s="74" t="s">
        <v>30</v>
      </c>
      <c r="E1975" s="204"/>
      <c r="F1975" s="204">
        <v>1</v>
      </c>
      <c r="G1975" s="59" t="s">
        <v>1845</v>
      </c>
      <c r="H1975" s="613">
        <v>0</v>
      </c>
      <c r="I1975" s="59" t="s">
        <v>1845</v>
      </c>
      <c r="J1975" s="15">
        <v>14645000</v>
      </c>
      <c r="K1975" s="99">
        <v>16035000</v>
      </c>
      <c r="L1975" s="13"/>
      <c r="M1975" s="17"/>
      <c r="N1975" s="17"/>
      <c r="O1975" s="17"/>
      <c r="P1975" s="17"/>
      <c r="Q1975" s="17"/>
      <c r="R1975" s="17"/>
      <c r="S1975" s="17"/>
      <c r="T1975" s="17"/>
      <c r="U1975" s="17"/>
      <c r="V1975" s="17"/>
      <c r="W1975" s="17"/>
      <c r="X1975" s="17"/>
      <c r="Y1975" s="53">
        <f t="shared" ref="Y1975:Y1980" si="635">AB1975</f>
        <v>100</v>
      </c>
      <c r="Z1975" s="53">
        <f t="shared" ref="Z1975:Z1980" si="636">AD1975</f>
        <v>100</v>
      </c>
      <c r="AA1975" s="22">
        <v>16035000</v>
      </c>
      <c r="AB1975" s="19">
        <f t="shared" ref="AB1975:AB1980" si="637">AA1975/K1975*100</f>
        <v>100</v>
      </c>
      <c r="AC1975" s="22">
        <f t="shared" ref="AC1975:AC1980" si="638">AA1975</f>
        <v>16035000</v>
      </c>
      <c r="AD1975" s="19">
        <f t="shared" ref="AD1975:AD1980" si="639">AC1975/K1975*100</f>
        <v>100</v>
      </c>
    </row>
    <row r="1976" spans="2:30" ht="20.25" customHeight="1">
      <c r="B1976" s="13">
        <v>4</v>
      </c>
      <c r="C1976" s="74" t="s">
        <v>204</v>
      </c>
      <c r="D1976" s="74" t="s">
        <v>32</v>
      </c>
      <c r="E1976" s="204"/>
      <c r="F1976" s="204">
        <v>1</v>
      </c>
      <c r="G1976" s="59" t="s">
        <v>1845</v>
      </c>
      <c r="H1976" s="613">
        <v>0</v>
      </c>
      <c r="I1976" s="59" t="s">
        <v>1845</v>
      </c>
      <c r="J1976" s="15">
        <v>96166000</v>
      </c>
      <c r="K1976" s="99">
        <v>92784000</v>
      </c>
      <c r="L1976" s="13"/>
      <c r="M1976" s="17"/>
      <c r="N1976" s="17"/>
      <c r="O1976" s="17"/>
      <c r="P1976" s="17"/>
      <c r="Q1976" s="17"/>
      <c r="R1976" s="17"/>
      <c r="S1976" s="17"/>
      <c r="T1976" s="17"/>
      <c r="U1976" s="17"/>
      <c r="V1976" s="17"/>
      <c r="W1976" s="17"/>
      <c r="X1976" s="17"/>
      <c r="Y1976" s="53">
        <f t="shared" si="635"/>
        <v>99.113855837213322</v>
      </c>
      <c r="Z1976" s="53">
        <f t="shared" si="636"/>
        <v>99.113855837213322</v>
      </c>
      <c r="AA1976" s="22">
        <v>91961800</v>
      </c>
      <c r="AB1976" s="19">
        <f t="shared" si="637"/>
        <v>99.113855837213322</v>
      </c>
      <c r="AC1976" s="22">
        <f t="shared" si="638"/>
        <v>91961800</v>
      </c>
      <c r="AD1976" s="19">
        <f t="shared" si="639"/>
        <v>99.113855837213322</v>
      </c>
    </row>
    <row r="1977" spans="2:30" ht="18" customHeight="1">
      <c r="B1977" s="13">
        <v>5</v>
      </c>
      <c r="C1977" s="74" t="s">
        <v>205</v>
      </c>
      <c r="D1977" s="74" t="s">
        <v>34</v>
      </c>
      <c r="E1977" s="204"/>
      <c r="F1977" s="204">
        <v>1</v>
      </c>
      <c r="G1977" s="59" t="s">
        <v>1845</v>
      </c>
      <c r="H1977" s="613">
        <v>0</v>
      </c>
      <c r="I1977" s="59" t="s">
        <v>1845</v>
      </c>
      <c r="J1977" s="15">
        <v>28990000</v>
      </c>
      <c r="K1977" s="99">
        <v>36490000</v>
      </c>
      <c r="L1977" s="13"/>
      <c r="M1977" s="17"/>
      <c r="N1977" s="17"/>
      <c r="O1977" s="17"/>
      <c r="P1977" s="17"/>
      <c r="Q1977" s="17"/>
      <c r="R1977" s="17"/>
      <c r="S1977" s="17"/>
      <c r="T1977" s="17"/>
      <c r="U1977" s="17"/>
      <c r="V1977" s="17"/>
      <c r="W1977" s="17"/>
      <c r="X1977" s="17"/>
      <c r="Y1977" s="53">
        <f t="shared" si="635"/>
        <v>100</v>
      </c>
      <c r="Z1977" s="53">
        <f t="shared" si="636"/>
        <v>100</v>
      </c>
      <c r="AA1977" s="22">
        <v>36490000</v>
      </c>
      <c r="AB1977" s="19">
        <f t="shared" si="637"/>
        <v>100</v>
      </c>
      <c r="AC1977" s="22">
        <f t="shared" si="638"/>
        <v>36490000</v>
      </c>
      <c r="AD1977" s="19">
        <f t="shared" si="639"/>
        <v>100</v>
      </c>
    </row>
    <row r="1978" spans="2:30" ht="29.25" customHeight="1">
      <c r="B1978" s="13">
        <v>6</v>
      </c>
      <c r="C1978" s="123" t="s">
        <v>216</v>
      </c>
      <c r="D1978" s="21" t="s">
        <v>38</v>
      </c>
      <c r="E1978" s="485"/>
      <c r="F1978" s="204">
        <v>1</v>
      </c>
      <c r="G1978" s="59" t="s">
        <v>1845</v>
      </c>
      <c r="H1978" s="613">
        <v>0</v>
      </c>
      <c r="I1978" s="59" t="s">
        <v>1845</v>
      </c>
      <c r="J1978" s="15">
        <v>4000000</v>
      </c>
      <c r="K1978" s="99">
        <v>4000000</v>
      </c>
      <c r="L1978" s="13"/>
      <c r="M1978" s="17"/>
      <c r="N1978" s="17"/>
      <c r="O1978" s="17"/>
      <c r="P1978" s="17"/>
      <c r="Q1978" s="17"/>
      <c r="R1978" s="17"/>
      <c r="S1978" s="17"/>
      <c r="T1978" s="17"/>
      <c r="U1978" s="17"/>
      <c r="V1978" s="17"/>
      <c r="W1978" s="17"/>
      <c r="X1978" s="17"/>
      <c r="Y1978" s="53">
        <f t="shared" si="635"/>
        <v>100</v>
      </c>
      <c r="Z1978" s="53">
        <f t="shared" si="636"/>
        <v>100</v>
      </c>
      <c r="AA1978" s="22">
        <v>4000000</v>
      </c>
      <c r="AB1978" s="19">
        <f t="shared" si="637"/>
        <v>100</v>
      </c>
      <c r="AC1978" s="22">
        <f t="shared" si="638"/>
        <v>4000000</v>
      </c>
      <c r="AD1978" s="19">
        <f t="shared" si="639"/>
        <v>100</v>
      </c>
    </row>
    <row r="1979" spans="2:30">
      <c r="B1979" s="13"/>
      <c r="C1979" s="86" t="s">
        <v>1104</v>
      </c>
      <c r="D1979" s="86" t="s">
        <v>1105</v>
      </c>
      <c r="E1979" s="204"/>
      <c r="F1979" s="204"/>
      <c r="G1979" s="59"/>
      <c r="H1979" s="613"/>
      <c r="I1979" s="59"/>
      <c r="J1979" s="15"/>
      <c r="K1979" s="25"/>
      <c r="L1979" s="13"/>
      <c r="M1979" s="17"/>
      <c r="N1979" s="17"/>
      <c r="O1979" s="17"/>
      <c r="P1979" s="17"/>
      <c r="Q1979" s="17"/>
      <c r="R1979" s="17"/>
      <c r="S1979" s="17"/>
      <c r="T1979" s="17"/>
      <c r="U1979" s="17"/>
      <c r="V1979" s="17"/>
      <c r="W1979" s="17"/>
      <c r="X1979" s="17"/>
      <c r="Y1979" s="53"/>
      <c r="Z1979" s="53"/>
      <c r="AA1979" s="22"/>
      <c r="AB1979" s="19"/>
      <c r="AC1979" s="22"/>
      <c r="AD1979" s="19"/>
    </row>
    <row r="1980" spans="2:30">
      <c r="B1980" s="45">
        <v>7</v>
      </c>
      <c r="C1980" s="74" t="s">
        <v>306</v>
      </c>
      <c r="D1980" s="74" t="s">
        <v>1106</v>
      </c>
      <c r="E1980" s="489"/>
      <c r="F1980" s="347">
        <v>1</v>
      </c>
      <c r="G1980" s="611" t="s">
        <v>1845</v>
      </c>
      <c r="H1980" s="626">
        <v>0</v>
      </c>
      <c r="I1980" s="611" t="s">
        <v>1845</v>
      </c>
      <c r="J1980" s="15">
        <v>46515000</v>
      </c>
      <c r="K1980" s="99">
        <v>60565000</v>
      </c>
      <c r="L1980" s="45"/>
      <c r="M1980" s="44"/>
      <c r="N1980" s="44"/>
      <c r="O1980" s="44"/>
      <c r="P1980" s="44"/>
      <c r="Q1980" s="44"/>
      <c r="R1980" s="44"/>
      <c r="S1980" s="44"/>
      <c r="T1980" s="44"/>
      <c r="U1980" s="44"/>
      <c r="V1980" s="44"/>
      <c r="W1980" s="44"/>
      <c r="X1980" s="44"/>
      <c r="Y1980" s="53">
        <f t="shared" si="635"/>
        <v>99.939734169900106</v>
      </c>
      <c r="Z1980" s="53">
        <f t="shared" si="636"/>
        <v>99.939734169900106</v>
      </c>
      <c r="AA1980" s="73">
        <v>60528500</v>
      </c>
      <c r="AB1980" s="19">
        <f t="shared" si="637"/>
        <v>99.939734169900106</v>
      </c>
      <c r="AC1980" s="22">
        <f t="shared" si="638"/>
        <v>60528500</v>
      </c>
      <c r="AD1980" s="19">
        <f t="shared" si="639"/>
        <v>99.939734169900106</v>
      </c>
    </row>
    <row r="1981" spans="2:30">
      <c r="B1981" s="37">
        <v>146</v>
      </c>
      <c r="C1981" s="855" t="s">
        <v>1140</v>
      </c>
      <c r="D1981" s="855"/>
      <c r="E1981" s="483"/>
      <c r="F1981" s="483">
        <v>7</v>
      </c>
      <c r="G1981" s="567" t="s">
        <v>1845</v>
      </c>
      <c r="H1981" s="483">
        <f>SUM(H1974:H1980)</f>
        <v>0</v>
      </c>
      <c r="I1981" s="567" t="s">
        <v>1845</v>
      </c>
      <c r="J1981" s="208">
        <f>SUM(J1974:J1980)</f>
        <v>257076000</v>
      </c>
      <c r="K1981" s="208">
        <f>SUM(K1972:K1980)</f>
        <v>461386000</v>
      </c>
      <c r="L1981" s="37"/>
      <c r="M1981" s="38"/>
      <c r="N1981" s="38"/>
      <c r="O1981" s="38"/>
      <c r="P1981" s="38"/>
      <c r="Q1981" s="38"/>
      <c r="R1981" s="38"/>
      <c r="S1981" s="38"/>
      <c r="T1981" s="38"/>
      <c r="U1981" s="38"/>
      <c r="V1981" s="38"/>
      <c r="W1981" s="38"/>
      <c r="X1981" s="38"/>
      <c r="Y1981" s="249">
        <f>SUM(Y1972:Y1980)/7</f>
        <v>97.898358573413915</v>
      </c>
      <c r="Z1981" s="249">
        <f>SUM(Z1972:Z1980)/7</f>
        <v>97.898358573413915</v>
      </c>
      <c r="AA1981" s="68">
        <f>SUM(AA1972:AA1980)</f>
        <v>440306310</v>
      </c>
      <c r="AB1981" s="84">
        <f>SUM(AB1972:AB1980)/7</f>
        <v>97.802027404582745</v>
      </c>
      <c r="AC1981" s="68">
        <f>SUM(AC1972:AC1980)</f>
        <v>440306310</v>
      </c>
      <c r="AD1981" s="84">
        <f>SUM(AD1972:AD1980)/7</f>
        <v>97.802027404582745</v>
      </c>
    </row>
    <row r="1982" spans="2:30">
      <c r="B1982" s="66"/>
      <c r="C1982" s="63" t="s">
        <v>977</v>
      </c>
      <c r="D1982" s="64" t="s">
        <v>1141</v>
      </c>
      <c r="E1982" s="484"/>
      <c r="F1982" s="506">
        <v>7</v>
      </c>
      <c r="G1982" s="611" t="s">
        <v>1845</v>
      </c>
      <c r="H1982" s="615">
        <v>0</v>
      </c>
      <c r="I1982" s="611" t="s">
        <v>1845</v>
      </c>
      <c r="J1982" s="65"/>
      <c r="K1982" s="65"/>
      <c r="L1982" s="66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  <c r="W1982" s="63"/>
      <c r="X1982" s="63"/>
      <c r="Y1982" s="63" t="s">
        <v>1</v>
      </c>
      <c r="Z1982" s="63"/>
      <c r="AA1982" s="63"/>
      <c r="AB1982" s="63"/>
      <c r="AC1982" s="63"/>
      <c r="AD1982" s="63"/>
    </row>
    <row r="1983" spans="2:30" ht="25.5">
      <c r="B1983" s="66"/>
      <c r="C1983" s="246">
        <v>20.021000000000001</v>
      </c>
      <c r="D1983" s="210" t="s">
        <v>544</v>
      </c>
      <c r="E1983" s="484"/>
      <c r="F1983" s="484"/>
      <c r="G1983" s="472"/>
      <c r="H1983" s="242"/>
      <c r="I1983" s="242"/>
      <c r="J1983" s="65"/>
      <c r="K1983" s="65"/>
      <c r="L1983" s="66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  <c r="W1983" s="63"/>
      <c r="X1983" s="63"/>
      <c r="Y1983" s="63"/>
      <c r="Z1983" s="63"/>
      <c r="AA1983" s="63"/>
      <c r="AB1983" s="63"/>
      <c r="AC1983" s="63"/>
      <c r="AD1983" s="63"/>
    </row>
    <row r="1984" spans="2:30" ht="25.5">
      <c r="B1984" s="66">
        <v>1</v>
      </c>
      <c r="C1984" s="247" t="s">
        <v>1142</v>
      </c>
      <c r="D1984" s="49" t="s">
        <v>1143</v>
      </c>
      <c r="E1984" s="484"/>
      <c r="F1984" s="484">
        <v>1</v>
      </c>
      <c r="G1984" s="611" t="s">
        <v>1845</v>
      </c>
      <c r="H1984" s="615">
        <v>0</v>
      </c>
      <c r="I1984" s="611" t="s">
        <v>1845</v>
      </c>
      <c r="J1984" s="15">
        <v>200000000</v>
      </c>
      <c r="K1984" s="65">
        <v>200000000</v>
      </c>
      <c r="L1984" s="66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  <c r="W1984" s="63"/>
      <c r="X1984" s="63"/>
      <c r="Y1984" s="63">
        <v>100</v>
      </c>
      <c r="Z1984" s="134">
        <v>100</v>
      </c>
      <c r="AA1984" s="135">
        <v>199650000</v>
      </c>
      <c r="AB1984" s="136">
        <f>AA1984/K1984*100</f>
        <v>99.825000000000003</v>
      </c>
      <c r="AC1984" s="135">
        <f>AA1984</f>
        <v>199650000</v>
      </c>
      <c r="AD1984" s="136">
        <f>AC1984/K1984*100</f>
        <v>99.825000000000003</v>
      </c>
    </row>
    <row r="1985" spans="2:30" ht="27">
      <c r="B1985" s="13"/>
      <c r="C1985" s="86" t="s">
        <v>942</v>
      </c>
      <c r="D1985" s="86" t="s">
        <v>26</v>
      </c>
      <c r="E1985" s="485"/>
      <c r="F1985" s="485"/>
      <c r="G1985" s="441"/>
      <c r="H1985" s="87"/>
      <c r="I1985" s="87"/>
      <c r="J1985" s="209"/>
      <c r="K1985" s="16"/>
      <c r="L1985" s="13"/>
      <c r="M1985" s="17"/>
      <c r="N1985" s="17"/>
      <c r="O1985" s="17"/>
      <c r="P1985" s="17"/>
      <c r="Q1985" s="17"/>
      <c r="R1985" s="17"/>
      <c r="S1985" s="17"/>
      <c r="T1985" s="17"/>
      <c r="U1985" s="17"/>
      <c r="V1985" s="17"/>
      <c r="W1985" s="17"/>
      <c r="X1985" s="17"/>
      <c r="Y1985" s="17"/>
      <c r="Z1985" s="17"/>
      <c r="AA1985" s="17"/>
      <c r="AB1985" s="136"/>
      <c r="AC1985" s="17"/>
      <c r="AD1985" s="136"/>
    </row>
    <row r="1986" spans="2:30">
      <c r="B1986" s="13">
        <f>B1984+1</f>
        <v>2</v>
      </c>
      <c r="C1986" s="74" t="s">
        <v>203</v>
      </c>
      <c r="D1986" s="74" t="s">
        <v>28</v>
      </c>
      <c r="E1986" s="204"/>
      <c r="F1986" s="204">
        <v>1</v>
      </c>
      <c r="G1986" s="611" t="s">
        <v>1845</v>
      </c>
      <c r="H1986" s="615">
        <v>0</v>
      </c>
      <c r="I1986" s="611" t="s">
        <v>1845</v>
      </c>
      <c r="J1986" s="15">
        <v>68613000</v>
      </c>
      <c r="K1986" s="25">
        <v>118763000</v>
      </c>
      <c r="L1986" s="13"/>
      <c r="M1986" s="17"/>
      <c r="N1986" s="17"/>
      <c r="O1986" s="17"/>
      <c r="P1986" s="17"/>
      <c r="Q1986" s="17"/>
      <c r="R1986" s="17"/>
      <c r="S1986" s="17"/>
      <c r="T1986" s="17"/>
      <c r="U1986" s="17"/>
      <c r="V1986" s="17"/>
      <c r="W1986" s="17"/>
      <c r="X1986" s="17"/>
      <c r="Y1986" s="53">
        <f>AB1986</f>
        <v>88.011122992851313</v>
      </c>
      <c r="Z1986" s="53">
        <f>AD1986</f>
        <v>88.011122992851313</v>
      </c>
      <c r="AA1986" s="22">
        <v>104524650</v>
      </c>
      <c r="AB1986" s="136">
        <f t="shared" ref="AB1986:AB1992" si="640">AA1986/K1986*100</f>
        <v>88.011122992851313</v>
      </c>
      <c r="AC1986" s="22">
        <f>AA1986</f>
        <v>104524650</v>
      </c>
      <c r="AD1986" s="136">
        <f t="shared" ref="AD1986:AD1992" si="641">AC1986/K1986*100</f>
        <v>88.011122992851313</v>
      </c>
    </row>
    <row r="1987" spans="2:30">
      <c r="B1987" s="13">
        <f>B1986+1</f>
        <v>3</v>
      </c>
      <c r="C1987" s="74" t="s">
        <v>210</v>
      </c>
      <c r="D1987" s="74" t="s">
        <v>30</v>
      </c>
      <c r="E1987" s="204"/>
      <c r="F1987" s="204">
        <v>1</v>
      </c>
      <c r="G1987" s="611" t="s">
        <v>1845</v>
      </c>
      <c r="H1987" s="615">
        <v>0</v>
      </c>
      <c r="I1987" s="611" t="s">
        <v>1845</v>
      </c>
      <c r="J1987" s="15">
        <v>8800000</v>
      </c>
      <c r="K1987" s="25">
        <v>12655000</v>
      </c>
      <c r="L1987" s="13"/>
      <c r="M1987" s="17"/>
      <c r="N1987" s="17"/>
      <c r="O1987" s="17"/>
      <c r="P1987" s="17"/>
      <c r="Q1987" s="17"/>
      <c r="R1987" s="17"/>
      <c r="S1987" s="17"/>
      <c r="T1987" s="17"/>
      <c r="U1987" s="17"/>
      <c r="V1987" s="17"/>
      <c r="W1987" s="17"/>
      <c r="X1987" s="17"/>
      <c r="Y1987" s="53">
        <f t="shared" ref="Y1987:Y1992" si="642">AB1987</f>
        <v>52.785460292374552</v>
      </c>
      <c r="Z1987" s="53">
        <f t="shared" ref="Z1987:Z1992" si="643">AD1987</f>
        <v>52.785460292374552</v>
      </c>
      <c r="AA1987" s="22">
        <v>6680000</v>
      </c>
      <c r="AB1987" s="136">
        <f t="shared" si="640"/>
        <v>52.785460292374552</v>
      </c>
      <c r="AC1987" s="22">
        <f t="shared" ref="AC1987:AC1990" si="644">AA1987</f>
        <v>6680000</v>
      </c>
      <c r="AD1987" s="136">
        <f t="shared" si="641"/>
        <v>52.785460292374552</v>
      </c>
    </row>
    <row r="1988" spans="2:30">
      <c r="B1988" s="13">
        <f t="shared" ref="B1988:B1990" si="645">B1987+1</f>
        <v>4</v>
      </c>
      <c r="C1988" s="74" t="s">
        <v>204</v>
      </c>
      <c r="D1988" s="74" t="s">
        <v>32</v>
      </c>
      <c r="E1988" s="204"/>
      <c r="F1988" s="204">
        <v>1</v>
      </c>
      <c r="G1988" s="611" t="s">
        <v>1845</v>
      </c>
      <c r="H1988" s="615">
        <v>0</v>
      </c>
      <c r="I1988" s="611" t="s">
        <v>1845</v>
      </c>
      <c r="J1988" s="15">
        <v>73528000</v>
      </c>
      <c r="K1988" s="25">
        <v>81528000</v>
      </c>
      <c r="L1988" s="13"/>
      <c r="M1988" s="17"/>
      <c r="N1988" s="17"/>
      <c r="O1988" s="17"/>
      <c r="P1988" s="17"/>
      <c r="Q1988" s="17"/>
      <c r="R1988" s="17"/>
      <c r="S1988" s="17"/>
      <c r="T1988" s="17"/>
      <c r="U1988" s="17"/>
      <c r="V1988" s="17"/>
      <c r="W1988" s="17"/>
      <c r="X1988" s="17"/>
      <c r="Y1988" s="53">
        <f t="shared" si="642"/>
        <v>96.099630801687766</v>
      </c>
      <c r="Z1988" s="53">
        <f t="shared" si="643"/>
        <v>96.099630801687766</v>
      </c>
      <c r="AA1988" s="22">
        <v>78348107</v>
      </c>
      <c r="AB1988" s="136">
        <f t="shared" si="640"/>
        <v>96.099630801687766</v>
      </c>
      <c r="AC1988" s="22">
        <f t="shared" si="644"/>
        <v>78348107</v>
      </c>
      <c r="AD1988" s="136">
        <f t="shared" si="641"/>
        <v>96.099630801687766</v>
      </c>
    </row>
    <row r="1989" spans="2:30">
      <c r="B1989" s="13">
        <f t="shared" si="645"/>
        <v>5</v>
      </c>
      <c r="C1989" s="74" t="s">
        <v>205</v>
      </c>
      <c r="D1989" s="74" t="s">
        <v>34</v>
      </c>
      <c r="E1989" s="204"/>
      <c r="F1989" s="204">
        <v>1</v>
      </c>
      <c r="G1989" s="611" t="s">
        <v>1845</v>
      </c>
      <c r="H1989" s="615">
        <v>0</v>
      </c>
      <c r="I1989" s="611" t="s">
        <v>1845</v>
      </c>
      <c r="J1989" s="15">
        <v>57500000</v>
      </c>
      <c r="K1989" s="25">
        <v>59100000</v>
      </c>
      <c r="L1989" s="13"/>
      <c r="M1989" s="17"/>
      <c r="N1989" s="17"/>
      <c r="O1989" s="17"/>
      <c r="P1989" s="17"/>
      <c r="Q1989" s="17"/>
      <c r="R1989" s="17"/>
      <c r="S1989" s="17"/>
      <c r="T1989" s="17"/>
      <c r="U1989" s="17"/>
      <c r="V1989" s="17"/>
      <c r="W1989" s="17"/>
      <c r="X1989" s="17"/>
      <c r="Y1989" s="53">
        <f t="shared" si="642"/>
        <v>98.323181049069376</v>
      </c>
      <c r="Z1989" s="53">
        <f t="shared" si="643"/>
        <v>98.323181049069376</v>
      </c>
      <c r="AA1989" s="22">
        <v>58109000</v>
      </c>
      <c r="AB1989" s="136">
        <f t="shared" si="640"/>
        <v>98.323181049069376</v>
      </c>
      <c r="AC1989" s="22">
        <f t="shared" si="644"/>
        <v>58109000</v>
      </c>
      <c r="AD1989" s="136">
        <f t="shared" si="641"/>
        <v>98.323181049069376</v>
      </c>
    </row>
    <row r="1990" spans="2:30" ht="25.5">
      <c r="B1990" s="13">
        <f t="shared" si="645"/>
        <v>6</v>
      </c>
      <c r="C1990" s="123" t="s">
        <v>216</v>
      </c>
      <c r="D1990" s="21" t="s">
        <v>38</v>
      </c>
      <c r="E1990" s="485"/>
      <c r="F1990" s="204">
        <v>1</v>
      </c>
      <c r="G1990" s="611" t="s">
        <v>1845</v>
      </c>
      <c r="H1990" s="615">
        <v>0</v>
      </c>
      <c r="I1990" s="611" t="s">
        <v>1845</v>
      </c>
      <c r="J1990" s="15">
        <v>4000000</v>
      </c>
      <c r="K1990" s="25">
        <v>4000000</v>
      </c>
      <c r="L1990" s="13"/>
      <c r="M1990" s="17"/>
      <c r="N1990" s="17"/>
      <c r="O1990" s="17"/>
      <c r="P1990" s="17"/>
      <c r="Q1990" s="17"/>
      <c r="R1990" s="17"/>
      <c r="S1990" s="17"/>
      <c r="T1990" s="17"/>
      <c r="U1990" s="17"/>
      <c r="V1990" s="17"/>
      <c r="W1990" s="17"/>
      <c r="X1990" s="17"/>
      <c r="Y1990" s="53">
        <f t="shared" si="642"/>
        <v>44</v>
      </c>
      <c r="Z1990" s="53">
        <f t="shared" si="643"/>
        <v>44</v>
      </c>
      <c r="AA1990" s="165">
        <v>1760000</v>
      </c>
      <c r="AB1990" s="136">
        <f t="shared" si="640"/>
        <v>44</v>
      </c>
      <c r="AC1990" s="165">
        <f t="shared" si="644"/>
        <v>1760000</v>
      </c>
      <c r="AD1990" s="136">
        <f t="shared" si="641"/>
        <v>44</v>
      </c>
    </row>
    <row r="1991" spans="2:30">
      <c r="B1991" s="13"/>
      <c r="C1991" s="86" t="s">
        <v>1104</v>
      </c>
      <c r="D1991" s="86" t="s">
        <v>1105</v>
      </c>
      <c r="E1991" s="204"/>
      <c r="F1991" s="204"/>
      <c r="G1991" s="611"/>
      <c r="H1991" s="615"/>
      <c r="I1991" s="611"/>
      <c r="J1991" s="15"/>
      <c r="K1991" s="25"/>
      <c r="L1991" s="13"/>
      <c r="M1991" s="17"/>
      <c r="N1991" s="17"/>
      <c r="O1991" s="17"/>
      <c r="P1991" s="17"/>
      <c r="Q1991" s="17"/>
      <c r="R1991" s="17"/>
      <c r="S1991" s="17"/>
      <c r="T1991" s="17"/>
      <c r="U1991" s="17"/>
      <c r="V1991" s="17"/>
      <c r="W1991" s="17"/>
      <c r="X1991" s="17"/>
      <c r="Y1991" s="53"/>
      <c r="Z1991" s="53"/>
      <c r="AA1991" s="22"/>
      <c r="AB1991" s="136"/>
      <c r="AC1991" s="22"/>
      <c r="AD1991" s="136"/>
    </row>
    <row r="1992" spans="2:30">
      <c r="B1992" s="45">
        <v>7</v>
      </c>
      <c r="C1992" s="74" t="s">
        <v>306</v>
      </c>
      <c r="D1992" s="74" t="s">
        <v>1106</v>
      </c>
      <c r="E1992" s="513"/>
      <c r="F1992" s="489">
        <v>1</v>
      </c>
      <c r="G1992" s="611" t="s">
        <v>1845</v>
      </c>
      <c r="H1992" s="615">
        <v>0</v>
      </c>
      <c r="I1992" s="611" t="s">
        <v>1845</v>
      </c>
      <c r="J1992" s="15">
        <v>54370000</v>
      </c>
      <c r="K1992" s="34">
        <v>67470000</v>
      </c>
      <c r="L1992" s="45"/>
      <c r="M1992" s="44"/>
      <c r="N1992" s="44"/>
      <c r="O1992" s="44"/>
      <c r="P1992" s="44"/>
      <c r="Q1992" s="44"/>
      <c r="R1992" s="44"/>
      <c r="S1992" s="44"/>
      <c r="T1992" s="44"/>
      <c r="U1992" s="44"/>
      <c r="V1992" s="44"/>
      <c r="W1992" s="44"/>
      <c r="X1992" s="44"/>
      <c r="Y1992" s="53">
        <f t="shared" si="642"/>
        <v>97.363272565584708</v>
      </c>
      <c r="Z1992" s="53">
        <f t="shared" si="643"/>
        <v>97.363272565584708</v>
      </c>
      <c r="AA1992" s="22">
        <v>65691000</v>
      </c>
      <c r="AB1992" s="136">
        <f t="shared" si="640"/>
        <v>97.363272565584708</v>
      </c>
      <c r="AC1992" s="22">
        <f>AA1992</f>
        <v>65691000</v>
      </c>
      <c r="AD1992" s="136">
        <f t="shared" si="641"/>
        <v>97.363272565584708</v>
      </c>
    </row>
    <row r="1993" spans="2:30">
      <c r="B1993" s="37">
        <v>147</v>
      </c>
      <c r="C1993" s="855" t="s">
        <v>1144</v>
      </c>
      <c r="D1993" s="855"/>
      <c r="E1993" s="483"/>
      <c r="F1993" s="483">
        <f>SUM(F1984:F1992)</f>
        <v>7</v>
      </c>
      <c r="G1993" s="567" t="s">
        <v>1845</v>
      </c>
      <c r="H1993" s="483">
        <f>SUM(H1984:H1992)</f>
        <v>0</v>
      </c>
      <c r="I1993" s="567" t="s">
        <v>1845</v>
      </c>
      <c r="J1993" s="208">
        <f>SUM(J1984:J1992)</f>
        <v>466811000</v>
      </c>
      <c r="K1993" s="208">
        <f>SUM(K1984:K1992)</f>
        <v>543516000</v>
      </c>
      <c r="L1993" s="37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38"/>
      <c r="Y1993" s="84">
        <f>SUM(Y1984:Y1992)/7</f>
        <v>82.36895252879539</v>
      </c>
      <c r="Z1993" s="84">
        <f>SUM(Z1984:Z1992)/7</f>
        <v>82.36895252879539</v>
      </c>
      <c r="AA1993" s="84">
        <f>SUM(AA1984:AA1992)</f>
        <v>514762757</v>
      </c>
      <c r="AB1993" s="84">
        <f>SUM(AB1984:AB1992)/7</f>
        <v>82.343952528795384</v>
      </c>
      <c r="AC1993" s="84">
        <f>SUM(AC1984:AC1992)</f>
        <v>514762757</v>
      </c>
      <c r="AD1993" s="84">
        <f>SUM(AD1984:AD1992)/7</f>
        <v>82.343952528795384</v>
      </c>
    </row>
    <row r="1994" spans="2:30" ht="20.25" customHeight="1">
      <c r="B1994" s="66"/>
      <c r="C1994" s="63" t="s">
        <v>1102</v>
      </c>
      <c r="D1994" s="64" t="s">
        <v>1145</v>
      </c>
      <c r="E1994" s="484"/>
      <c r="F1994" s="484">
        <v>6</v>
      </c>
      <c r="G1994" s="611" t="s">
        <v>1845</v>
      </c>
      <c r="H1994" s="615">
        <v>0</v>
      </c>
      <c r="I1994" s="611" t="s">
        <v>1845</v>
      </c>
      <c r="J1994" s="65"/>
      <c r="K1994" s="65"/>
      <c r="L1994" s="66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  <c r="W1994" s="63"/>
      <c r="X1994" s="63"/>
      <c r="Y1994" s="63"/>
      <c r="Z1994" s="63"/>
      <c r="AA1994" s="63"/>
      <c r="AB1994" s="63"/>
      <c r="AC1994" s="63"/>
      <c r="AD1994" s="63"/>
    </row>
    <row r="1995" spans="2:30" ht="29.25" customHeight="1">
      <c r="B1995" s="66">
        <v>1</v>
      </c>
      <c r="C1995" s="63"/>
      <c r="D1995" s="75" t="s">
        <v>2342</v>
      </c>
      <c r="E1995" s="484"/>
      <c r="F1995" s="484"/>
      <c r="G1995" s="611"/>
      <c r="H1995" s="615"/>
      <c r="I1995" s="565"/>
      <c r="J1995" s="65"/>
      <c r="K1995" s="99">
        <v>200000000</v>
      </c>
      <c r="L1995" s="66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  <c r="W1995" s="63"/>
      <c r="X1995" s="63"/>
      <c r="Y1995" s="63">
        <v>100</v>
      </c>
      <c r="Z1995" s="63">
        <v>100</v>
      </c>
      <c r="AA1995" s="135">
        <v>199485000</v>
      </c>
      <c r="AB1995" s="19">
        <f>AA1995/K1995*100</f>
        <v>99.742500000000007</v>
      </c>
      <c r="AC1995" s="137">
        <f>AA1995</f>
        <v>199485000</v>
      </c>
      <c r="AD1995" s="19">
        <f>AC1995/K1995*100</f>
        <v>99.742500000000007</v>
      </c>
    </row>
    <row r="1996" spans="2:30" ht="30" customHeight="1">
      <c r="B1996" s="13"/>
      <c r="C1996" s="86" t="s">
        <v>942</v>
      </c>
      <c r="D1996" s="86" t="s">
        <v>26</v>
      </c>
      <c r="E1996" s="485"/>
      <c r="F1996" s="485"/>
      <c r="G1996" s="441"/>
      <c r="H1996" s="87"/>
      <c r="I1996" s="87"/>
      <c r="J1996" s="209"/>
      <c r="K1996" s="16"/>
      <c r="L1996" s="13"/>
      <c r="M1996" s="17"/>
      <c r="N1996" s="17"/>
      <c r="O1996" s="17"/>
      <c r="P1996" s="17"/>
      <c r="Q1996" s="17"/>
      <c r="R1996" s="17"/>
      <c r="S1996" s="17"/>
      <c r="T1996" s="17"/>
      <c r="U1996" s="17"/>
      <c r="V1996" s="17"/>
      <c r="W1996" s="17"/>
      <c r="X1996" s="17"/>
      <c r="Y1996" s="17"/>
      <c r="Z1996" s="17"/>
      <c r="AA1996" s="17"/>
      <c r="AB1996" s="17"/>
      <c r="AC1996" s="17" t="s">
        <v>1</v>
      </c>
      <c r="AD1996" s="17"/>
    </row>
    <row r="1997" spans="2:30" ht="18.75" customHeight="1">
      <c r="B1997" s="13">
        <v>2</v>
      </c>
      <c r="C1997" s="74" t="s">
        <v>203</v>
      </c>
      <c r="D1997" s="74" t="s">
        <v>28</v>
      </c>
      <c r="E1997" s="204"/>
      <c r="F1997" s="204">
        <v>1</v>
      </c>
      <c r="G1997" s="611" t="s">
        <v>1845</v>
      </c>
      <c r="H1997" s="615">
        <v>0</v>
      </c>
      <c r="I1997" s="611" t="s">
        <v>1845</v>
      </c>
      <c r="J1997" s="15">
        <v>48299000</v>
      </c>
      <c r="K1997" s="99">
        <v>119700000</v>
      </c>
      <c r="L1997" s="13"/>
      <c r="M1997" s="17"/>
      <c r="N1997" s="17"/>
      <c r="O1997" s="17"/>
      <c r="P1997" s="17"/>
      <c r="Q1997" s="17"/>
      <c r="R1997" s="17"/>
      <c r="S1997" s="17"/>
      <c r="T1997" s="17"/>
      <c r="U1997" s="17"/>
      <c r="V1997" s="17"/>
      <c r="W1997" s="17"/>
      <c r="X1997" s="17"/>
      <c r="Y1997" s="53">
        <f>AB1997</f>
        <v>100</v>
      </c>
      <c r="Z1997" s="53">
        <f>AD1997</f>
        <v>100</v>
      </c>
      <c r="AA1997" s="22">
        <v>119700000</v>
      </c>
      <c r="AB1997" s="19">
        <f>AA1997/K1997*100</f>
        <v>100</v>
      </c>
      <c r="AC1997" s="22">
        <f>AA1997</f>
        <v>119700000</v>
      </c>
      <c r="AD1997" s="19">
        <f>AC1997/K1997*100</f>
        <v>100</v>
      </c>
    </row>
    <row r="1998" spans="2:30" ht="19.5" customHeight="1">
      <c r="B1998" s="13">
        <v>3</v>
      </c>
      <c r="C1998" s="74" t="s">
        <v>210</v>
      </c>
      <c r="D1998" s="74" t="s">
        <v>30</v>
      </c>
      <c r="E1998" s="204"/>
      <c r="F1998" s="204">
        <v>1</v>
      </c>
      <c r="G1998" s="611" t="s">
        <v>1845</v>
      </c>
      <c r="H1998" s="615">
        <v>0</v>
      </c>
      <c r="I1998" s="611" t="s">
        <v>1845</v>
      </c>
      <c r="J1998" s="15">
        <v>3430000</v>
      </c>
      <c r="K1998" s="99">
        <v>1560000</v>
      </c>
      <c r="L1998" s="13"/>
      <c r="M1998" s="17"/>
      <c r="N1998" s="17"/>
      <c r="O1998" s="17"/>
      <c r="P1998" s="17"/>
      <c r="Q1998" s="17"/>
      <c r="R1998" s="17"/>
      <c r="S1998" s="17"/>
      <c r="T1998" s="17"/>
      <c r="U1998" s="17"/>
      <c r="V1998" s="17"/>
      <c r="W1998" s="17"/>
      <c r="X1998" s="17"/>
      <c r="Y1998" s="53">
        <f t="shared" ref="Y1998:Y2003" si="646">AB1998</f>
        <v>100</v>
      </c>
      <c r="Z1998" s="53">
        <f t="shared" ref="Z1998:Z2003" si="647">AD1998</f>
        <v>100</v>
      </c>
      <c r="AA1998" s="22">
        <v>1560000</v>
      </c>
      <c r="AB1998" s="19">
        <f t="shared" ref="AB1998:AB2003" si="648">AA1998/K1998*100</f>
        <v>100</v>
      </c>
      <c r="AC1998" s="22">
        <f t="shared" ref="AC1998:AC2003" si="649">AA1998</f>
        <v>1560000</v>
      </c>
      <c r="AD1998" s="19">
        <f t="shared" ref="AD1998:AD2003" si="650">AC1998/K1998*100</f>
        <v>100</v>
      </c>
    </row>
    <row r="1999" spans="2:30" ht="19.5" customHeight="1">
      <c r="B1999" s="13">
        <v>4</v>
      </c>
      <c r="C1999" s="74" t="s">
        <v>204</v>
      </c>
      <c r="D1999" s="74" t="s">
        <v>32</v>
      </c>
      <c r="E1999" s="204"/>
      <c r="F1999" s="204">
        <v>1</v>
      </c>
      <c r="G1999" s="611" t="s">
        <v>1845</v>
      </c>
      <c r="H1999" s="615">
        <v>0</v>
      </c>
      <c r="I1999" s="611" t="s">
        <v>1845</v>
      </c>
      <c r="J1999" s="15">
        <v>76450000</v>
      </c>
      <c r="K1999" s="99">
        <v>84100000</v>
      </c>
      <c r="L1999" s="13"/>
      <c r="M1999" s="17"/>
      <c r="N1999" s="17"/>
      <c r="O1999" s="17"/>
      <c r="P1999" s="17"/>
      <c r="Q1999" s="17"/>
      <c r="R1999" s="17"/>
      <c r="S1999" s="17"/>
      <c r="T1999" s="17"/>
      <c r="U1999" s="17"/>
      <c r="V1999" s="17"/>
      <c r="W1999" s="17"/>
      <c r="X1999" s="17"/>
      <c r="Y1999" s="53">
        <f t="shared" si="646"/>
        <v>100</v>
      </c>
      <c r="Z1999" s="53">
        <f t="shared" si="647"/>
        <v>100</v>
      </c>
      <c r="AA1999" s="22">
        <f>23600000+60500000</f>
        <v>84100000</v>
      </c>
      <c r="AB1999" s="19">
        <f>AA1999/K1999*100</f>
        <v>100</v>
      </c>
      <c r="AC1999" s="22">
        <f>AA1999</f>
        <v>84100000</v>
      </c>
      <c r="AD1999" s="19">
        <f t="shared" si="650"/>
        <v>100</v>
      </c>
    </row>
    <row r="2000" spans="2:30" ht="20.25" customHeight="1">
      <c r="B2000" s="13">
        <v>5</v>
      </c>
      <c r="C2000" s="74" t="s">
        <v>205</v>
      </c>
      <c r="D2000" s="74" t="s">
        <v>34</v>
      </c>
      <c r="E2000" s="204"/>
      <c r="F2000" s="204">
        <v>1</v>
      </c>
      <c r="G2000" s="611" t="s">
        <v>1845</v>
      </c>
      <c r="H2000" s="615">
        <v>0</v>
      </c>
      <c r="I2000" s="611" t="s">
        <v>1845</v>
      </c>
      <c r="J2000" s="15">
        <v>36500000</v>
      </c>
      <c r="K2000" s="99">
        <v>37000000</v>
      </c>
      <c r="L2000" s="13"/>
      <c r="M2000" s="17"/>
      <c r="N2000" s="17"/>
      <c r="O2000" s="17"/>
      <c r="P2000" s="17"/>
      <c r="Q2000" s="17"/>
      <c r="R2000" s="17"/>
      <c r="S2000" s="17"/>
      <c r="T2000" s="17"/>
      <c r="U2000" s="17"/>
      <c r="V2000" s="17"/>
      <c r="W2000" s="17"/>
      <c r="X2000" s="17"/>
      <c r="Y2000" s="53">
        <f t="shared" si="646"/>
        <v>100</v>
      </c>
      <c r="Z2000" s="53">
        <f t="shared" si="647"/>
        <v>100</v>
      </c>
      <c r="AA2000" s="22">
        <f>5000000+11500000+1000000+500000+5000000+1500000+500000+7000000+5000000</f>
        <v>37000000</v>
      </c>
      <c r="AB2000" s="19">
        <f>AA2000/K2000*100</f>
        <v>100</v>
      </c>
      <c r="AC2000" s="22">
        <f>5000000+11500000+1000000+500000+5000000+1500000+500000+7000000+5000000</f>
        <v>37000000</v>
      </c>
      <c r="AD2000" s="19">
        <f t="shared" si="650"/>
        <v>100</v>
      </c>
    </row>
    <row r="2001" spans="2:30" ht="30" customHeight="1">
      <c r="B2001" s="13">
        <v>6</v>
      </c>
      <c r="C2001" s="123" t="s">
        <v>216</v>
      </c>
      <c r="D2001" s="21" t="s">
        <v>38</v>
      </c>
      <c r="E2001" s="485"/>
      <c r="F2001" s="204">
        <v>1</v>
      </c>
      <c r="G2001" s="611" t="s">
        <v>1845</v>
      </c>
      <c r="H2001" s="615">
        <v>0</v>
      </c>
      <c r="I2001" s="611" t="s">
        <v>1845</v>
      </c>
      <c r="J2001" s="15">
        <v>4000000</v>
      </c>
      <c r="K2001" s="99">
        <v>2794000</v>
      </c>
      <c r="L2001" s="13"/>
      <c r="M2001" s="17"/>
      <c r="N2001" s="17"/>
      <c r="O2001" s="17"/>
      <c r="P2001" s="17"/>
      <c r="Q2001" s="17"/>
      <c r="R2001" s="17"/>
      <c r="S2001" s="17"/>
      <c r="T2001" s="17"/>
      <c r="U2001" s="17"/>
      <c r="V2001" s="17"/>
      <c r="W2001" s="17"/>
      <c r="X2001" s="17"/>
      <c r="Y2001" s="53">
        <v>100</v>
      </c>
      <c r="Z2001" s="53">
        <v>100</v>
      </c>
      <c r="AA2001" s="22">
        <v>2794000</v>
      </c>
      <c r="AB2001" s="19">
        <f t="shared" si="648"/>
        <v>100</v>
      </c>
      <c r="AC2001" s="22">
        <f t="shared" si="649"/>
        <v>2794000</v>
      </c>
      <c r="AD2001" s="19">
        <f t="shared" si="650"/>
        <v>100</v>
      </c>
    </row>
    <row r="2002" spans="2:30">
      <c r="B2002" s="13"/>
      <c r="C2002" s="86" t="s">
        <v>1104</v>
      </c>
      <c r="D2002" s="86" t="s">
        <v>1105</v>
      </c>
      <c r="E2002" s="204"/>
      <c r="F2002" s="204"/>
      <c r="G2002" s="611"/>
      <c r="H2002" s="615"/>
      <c r="I2002" s="611"/>
      <c r="J2002" s="15"/>
      <c r="K2002" s="25"/>
      <c r="L2002" s="13"/>
      <c r="M2002" s="17"/>
      <c r="N2002" s="17"/>
      <c r="O2002" s="17"/>
      <c r="P2002" s="17"/>
      <c r="Q2002" s="17"/>
      <c r="R2002" s="17"/>
      <c r="S2002" s="17"/>
      <c r="T2002" s="17"/>
      <c r="U2002" s="17"/>
      <c r="V2002" s="17"/>
      <c r="W2002" s="17"/>
      <c r="X2002" s="17"/>
      <c r="Y2002" s="53"/>
      <c r="Z2002" s="53"/>
      <c r="AA2002" s="22"/>
      <c r="AB2002" s="19"/>
      <c r="AC2002" s="22">
        <f t="shared" si="649"/>
        <v>0</v>
      </c>
      <c r="AD2002" s="19"/>
    </row>
    <row r="2003" spans="2:30">
      <c r="B2003" s="45">
        <v>7</v>
      </c>
      <c r="C2003" s="74" t="s">
        <v>306</v>
      </c>
      <c r="D2003" s="74" t="s">
        <v>1106</v>
      </c>
      <c r="E2003" s="489"/>
      <c r="F2003" s="489">
        <v>1</v>
      </c>
      <c r="G2003" s="611" t="s">
        <v>1845</v>
      </c>
      <c r="H2003" s="615">
        <v>0</v>
      </c>
      <c r="I2003" s="611" t="s">
        <v>1845</v>
      </c>
      <c r="J2003" s="15">
        <v>46723000</v>
      </c>
      <c r="K2003" s="99">
        <v>58023000</v>
      </c>
      <c r="L2003" s="45"/>
      <c r="M2003" s="44"/>
      <c r="N2003" s="44"/>
      <c r="O2003" s="44"/>
      <c r="P2003" s="44"/>
      <c r="Q2003" s="44"/>
      <c r="R2003" s="44"/>
      <c r="S2003" s="44"/>
      <c r="T2003" s="44"/>
      <c r="U2003" s="44"/>
      <c r="V2003" s="44"/>
      <c r="W2003" s="44"/>
      <c r="X2003" s="44"/>
      <c r="Y2003" s="55">
        <f t="shared" si="646"/>
        <v>78.839782500043086</v>
      </c>
      <c r="Z2003" s="55">
        <f t="shared" si="647"/>
        <v>78.839782500043086</v>
      </c>
      <c r="AA2003" s="73">
        <v>45745207</v>
      </c>
      <c r="AB2003" s="19">
        <f t="shared" si="648"/>
        <v>78.839782500043086</v>
      </c>
      <c r="AC2003" s="73">
        <f t="shared" si="649"/>
        <v>45745207</v>
      </c>
      <c r="AD2003" s="19">
        <f t="shared" si="650"/>
        <v>78.839782500043086</v>
      </c>
    </row>
    <row r="2004" spans="2:30">
      <c r="B2004" s="37">
        <v>148</v>
      </c>
      <c r="C2004" s="855" t="s">
        <v>1146</v>
      </c>
      <c r="D2004" s="855"/>
      <c r="E2004" s="483"/>
      <c r="F2004" s="483">
        <v>7</v>
      </c>
      <c r="G2004" s="567" t="s">
        <v>1845</v>
      </c>
      <c r="H2004" s="483">
        <f>SUM(H1997:H2003)</f>
        <v>0</v>
      </c>
      <c r="I2004" s="567" t="s">
        <v>1845</v>
      </c>
      <c r="J2004" s="236">
        <f>SUM(J1997:J2003)</f>
        <v>215402000</v>
      </c>
      <c r="K2004" s="236">
        <f>SUM(K1995:K2003)</f>
        <v>503177000</v>
      </c>
      <c r="L2004" s="37"/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  <c r="W2004" s="38"/>
      <c r="X2004" s="38"/>
      <c r="Y2004" s="42">
        <f>SUM(Y1995:Y2003)/7</f>
        <v>96.977111785720439</v>
      </c>
      <c r="Z2004" s="42">
        <f>SUM(Z1995:Z2003)/7</f>
        <v>96.977111785720439</v>
      </c>
      <c r="AA2004" s="449">
        <f>SUM(AA1995:AA2003)</f>
        <v>490384207</v>
      </c>
      <c r="AB2004" s="42">
        <f>SUM(AB1995:AB2003)/7</f>
        <v>96.940326071434725</v>
      </c>
      <c r="AC2004" s="67">
        <f>SUM(AC1995:AC2003)</f>
        <v>490384207</v>
      </c>
      <c r="AD2004" s="42">
        <f>SUM(AD1995:AD2003)/7</f>
        <v>96.940326071434725</v>
      </c>
    </row>
    <row r="2005" spans="2:30">
      <c r="B2005" s="66"/>
      <c r="C2005" s="63" t="s">
        <v>1003</v>
      </c>
      <c r="D2005" s="64" t="s">
        <v>1147</v>
      </c>
      <c r="E2005" s="484"/>
      <c r="F2005" s="506">
        <v>7</v>
      </c>
      <c r="G2005" s="611" t="s">
        <v>1845</v>
      </c>
      <c r="H2005" s="615">
        <v>0</v>
      </c>
      <c r="I2005" s="611" t="s">
        <v>1845</v>
      </c>
      <c r="J2005" s="237"/>
      <c r="K2005" s="65"/>
      <c r="L2005" s="66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  <c r="W2005" s="63"/>
      <c r="X2005" s="63"/>
      <c r="Y2005" s="63"/>
      <c r="Z2005" s="63"/>
      <c r="AA2005" s="63"/>
      <c r="AB2005" s="63"/>
      <c r="AC2005" s="63"/>
      <c r="AD2005" s="63"/>
    </row>
    <row r="2006" spans="2:30" ht="27">
      <c r="B2006" s="66"/>
      <c r="C2006" s="246">
        <v>22.021000000000001</v>
      </c>
      <c r="D2006" s="86" t="s">
        <v>544</v>
      </c>
      <c r="E2006" s="484"/>
      <c r="F2006" s="484"/>
      <c r="G2006" s="472"/>
      <c r="H2006" s="242"/>
      <c r="I2006" s="242"/>
      <c r="J2006" s="237"/>
      <c r="K2006" s="65"/>
      <c r="L2006" s="66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  <c r="W2006" s="63"/>
      <c r="X2006" s="63"/>
      <c r="Y2006" s="63"/>
      <c r="Z2006" s="63"/>
      <c r="AA2006" s="63"/>
      <c r="AB2006" s="63"/>
      <c r="AC2006" s="63"/>
      <c r="AD2006" s="63"/>
    </row>
    <row r="2007" spans="2:30" ht="25.5">
      <c r="B2007" s="66">
        <v>1</v>
      </c>
      <c r="C2007" s="247" t="s">
        <v>1148</v>
      </c>
      <c r="D2007" s="49" t="s">
        <v>1149</v>
      </c>
      <c r="E2007" s="484"/>
      <c r="F2007" s="484">
        <v>1</v>
      </c>
      <c r="G2007" s="611" t="s">
        <v>1845</v>
      </c>
      <c r="H2007" s="615">
        <v>0</v>
      </c>
      <c r="I2007" s="611" t="s">
        <v>1845</v>
      </c>
      <c r="J2007" s="15">
        <v>130000000</v>
      </c>
      <c r="K2007" s="99">
        <v>330000000</v>
      </c>
      <c r="L2007" s="66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  <c r="W2007" s="63"/>
      <c r="X2007" s="63"/>
      <c r="Y2007" s="136">
        <f>AB2007</f>
        <v>99.727272727272734</v>
      </c>
      <c r="Z2007" s="136">
        <f>AD2007</f>
        <v>99.727272727272734</v>
      </c>
      <c r="AA2007" s="25">
        <v>329100000</v>
      </c>
      <c r="AB2007" s="98">
        <f>AA2007/K2007*100</f>
        <v>99.727272727272734</v>
      </c>
      <c r="AC2007" s="159">
        <f>AA2007</f>
        <v>329100000</v>
      </c>
      <c r="AD2007" s="98">
        <f>AC2007/K2007*100</f>
        <v>99.727272727272734</v>
      </c>
    </row>
    <row r="2008" spans="2:30" ht="27">
      <c r="B2008" s="13"/>
      <c r="C2008" s="86" t="s">
        <v>942</v>
      </c>
      <c r="D2008" s="86" t="s">
        <v>26</v>
      </c>
      <c r="E2008" s="485"/>
      <c r="F2008" s="485"/>
      <c r="G2008" s="611"/>
      <c r="H2008" s="615"/>
      <c r="I2008" s="611"/>
      <c r="J2008" s="209"/>
      <c r="K2008" s="16"/>
      <c r="L2008" s="13"/>
      <c r="M2008" s="17"/>
      <c r="N2008" s="17"/>
      <c r="O2008" s="17"/>
      <c r="P2008" s="17"/>
      <c r="Q2008" s="17"/>
      <c r="R2008" s="17"/>
      <c r="S2008" s="17"/>
      <c r="T2008" s="17"/>
      <c r="U2008" s="17"/>
      <c r="V2008" s="17"/>
      <c r="W2008" s="17"/>
      <c r="X2008" s="17"/>
      <c r="Y2008" s="136">
        <f t="shared" ref="Y2008:Y2015" si="651">AB2008</f>
        <v>0</v>
      </c>
      <c r="Z2008" s="136">
        <f t="shared" ref="Z2008:Z2015" si="652">AD2008</f>
        <v>0</v>
      </c>
      <c r="AA2008" s="25"/>
      <c r="AB2008" s="98"/>
      <c r="AC2008" s="25"/>
      <c r="AD2008" s="98"/>
    </row>
    <row r="2009" spans="2:30">
      <c r="B2009" s="13">
        <v>2</v>
      </c>
      <c r="C2009" s="74" t="s">
        <v>203</v>
      </c>
      <c r="D2009" s="74" t="s">
        <v>28</v>
      </c>
      <c r="E2009" s="204"/>
      <c r="F2009" s="204">
        <v>1</v>
      </c>
      <c r="G2009" s="611" t="s">
        <v>1845</v>
      </c>
      <c r="H2009" s="615">
        <v>0</v>
      </c>
      <c r="I2009" s="611" t="s">
        <v>1845</v>
      </c>
      <c r="J2009" s="15">
        <v>72224000</v>
      </c>
      <c r="K2009" s="99">
        <v>145092000</v>
      </c>
      <c r="L2009" s="13"/>
      <c r="M2009" s="17"/>
      <c r="N2009" s="17"/>
      <c r="O2009" s="17"/>
      <c r="P2009" s="17"/>
      <c r="Q2009" s="17"/>
      <c r="R2009" s="17"/>
      <c r="S2009" s="17"/>
      <c r="T2009" s="17"/>
      <c r="U2009" s="17"/>
      <c r="V2009" s="17"/>
      <c r="W2009" s="17"/>
      <c r="X2009" s="17"/>
      <c r="Y2009" s="136">
        <f t="shared" si="651"/>
        <v>95.957717861770462</v>
      </c>
      <c r="Z2009" s="136">
        <f t="shared" si="652"/>
        <v>95.957717861770462</v>
      </c>
      <c r="AA2009" s="25">
        <v>139226972</v>
      </c>
      <c r="AB2009" s="98">
        <f>AA2009/K2009*100</f>
        <v>95.957717861770462</v>
      </c>
      <c r="AC2009" s="25">
        <f>AA2009</f>
        <v>139226972</v>
      </c>
      <c r="AD2009" s="98">
        <f>AC2009/K2009*100</f>
        <v>95.957717861770462</v>
      </c>
    </row>
    <row r="2010" spans="2:30">
      <c r="B2010" s="13">
        <v>3</v>
      </c>
      <c r="C2010" s="74" t="s">
        <v>210</v>
      </c>
      <c r="D2010" s="74" t="s">
        <v>30</v>
      </c>
      <c r="E2010" s="204"/>
      <c r="F2010" s="204">
        <v>1</v>
      </c>
      <c r="G2010" s="611" t="s">
        <v>1845</v>
      </c>
      <c r="H2010" s="615">
        <v>0</v>
      </c>
      <c r="I2010" s="611" t="s">
        <v>1845</v>
      </c>
      <c r="J2010" s="15">
        <v>7180000</v>
      </c>
      <c r="K2010" s="99">
        <v>7180000</v>
      </c>
      <c r="L2010" s="13"/>
      <c r="M2010" s="17"/>
      <c r="N2010" s="17"/>
      <c r="O2010" s="17"/>
      <c r="P2010" s="17"/>
      <c r="Q2010" s="17"/>
      <c r="R2010" s="17"/>
      <c r="S2010" s="17"/>
      <c r="T2010" s="17"/>
      <c r="U2010" s="17"/>
      <c r="V2010" s="17"/>
      <c r="W2010" s="17"/>
      <c r="X2010" s="17"/>
      <c r="Y2010" s="136">
        <f t="shared" si="651"/>
        <v>100</v>
      </c>
      <c r="Z2010" s="136">
        <f t="shared" si="652"/>
        <v>100</v>
      </c>
      <c r="AA2010" s="25">
        <v>7180000</v>
      </c>
      <c r="AB2010" s="98">
        <f t="shared" ref="AB2010:AB2015" si="653">AA2010/K2010*100</f>
        <v>100</v>
      </c>
      <c r="AC2010" s="25">
        <f t="shared" ref="AC2010:AC2015" si="654">AA2010</f>
        <v>7180000</v>
      </c>
      <c r="AD2010" s="98">
        <f t="shared" ref="AD2010:AD2013" si="655">AC2010/K2010*100</f>
        <v>100</v>
      </c>
    </row>
    <row r="2011" spans="2:30">
      <c r="B2011" s="13">
        <v>4</v>
      </c>
      <c r="C2011" s="74" t="s">
        <v>204</v>
      </c>
      <c r="D2011" s="74" t="s">
        <v>32</v>
      </c>
      <c r="E2011" s="204"/>
      <c r="F2011" s="204">
        <v>1</v>
      </c>
      <c r="G2011" s="611" t="s">
        <v>1845</v>
      </c>
      <c r="H2011" s="615">
        <v>0</v>
      </c>
      <c r="I2011" s="611" t="s">
        <v>1845</v>
      </c>
      <c r="J2011" s="15">
        <v>60080000</v>
      </c>
      <c r="K2011" s="99">
        <v>60080000</v>
      </c>
      <c r="L2011" s="13"/>
      <c r="M2011" s="17"/>
      <c r="N2011" s="17"/>
      <c r="O2011" s="17"/>
      <c r="P2011" s="17"/>
      <c r="Q2011" s="17"/>
      <c r="R2011" s="17"/>
      <c r="S2011" s="17"/>
      <c r="T2011" s="17"/>
      <c r="U2011" s="17"/>
      <c r="V2011" s="17"/>
      <c r="W2011" s="17"/>
      <c r="X2011" s="17"/>
      <c r="Y2011" s="136">
        <f t="shared" si="651"/>
        <v>99.787589880159786</v>
      </c>
      <c r="Z2011" s="136">
        <f t="shared" si="652"/>
        <v>99.787589880159786</v>
      </c>
      <c r="AA2011" s="25">
        <v>59952384</v>
      </c>
      <c r="AB2011" s="98">
        <f t="shared" si="653"/>
        <v>99.787589880159786</v>
      </c>
      <c r="AC2011" s="25">
        <f t="shared" si="654"/>
        <v>59952384</v>
      </c>
      <c r="AD2011" s="98">
        <f t="shared" si="655"/>
        <v>99.787589880159786</v>
      </c>
    </row>
    <row r="2012" spans="2:30">
      <c r="B2012" s="13">
        <v>5</v>
      </c>
      <c r="C2012" s="74" t="s">
        <v>205</v>
      </c>
      <c r="D2012" s="74" t="s">
        <v>34</v>
      </c>
      <c r="E2012" s="204"/>
      <c r="F2012" s="204">
        <v>1</v>
      </c>
      <c r="G2012" s="611" t="s">
        <v>1845</v>
      </c>
      <c r="H2012" s="615">
        <v>0</v>
      </c>
      <c r="I2012" s="611" t="s">
        <v>1845</v>
      </c>
      <c r="J2012" s="15">
        <v>13650000</v>
      </c>
      <c r="K2012" s="99">
        <v>21150000</v>
      </c>
      <c r="L2012" s="13"/>
      <c r="M2012" s="17"/>
      <c r="N2012" s="17"/>
      <c r="O2012" s="17"/>
      <c r="P2012" s="17"/>
      <c r="Q2012" s="17"/>
      <c r="R2012" s="17"/>
      <c r="S2012" s="17"/>
      <c r="T2012" s="17"/>
      <c r="U2012" s="17"/>
      <c r="V2012" s="17"/>
      <c r="W2012" s="17"/>
      <c r="X2012" s="17"/>
      <c r="Y2012" s="136">
        <f t="shared" si="651"/>
        <v>100</v>
      </c>
      <c r="Z2012" s="136">
        <f t="shared" si="652"/>
        <v>100</v>
      </c>
      <c r="AA2012" s="25">
        <v>21150000</v>
      </c>
      <c r="AB2012" s="98">
        <f t="shared" si="653"/>
        <v>100</v>
      </c>
      <c r="AC2012" s="25">
        <f t="shared" si="654"/>
        <v>21150000</v>
      </c>
      <c r="AD2012" s="98">
        <f t="shared" si="655"/>
        <v>100</v>
      </c>
    </row>
    <row r="2013" spans="2:30" ht="25.5">
      <c r="B2013" s="13">
        <v>6</v>
      </c>
      <c r="C2013" s="123" t="s">
        <v>216</v>
      </c>
      <c r="D2013" s="21" t="s">
        <v>38</v>
      </c>
      <c r="E2013" s="485"/>
      <c r="F2013" s="485">
        <v>1</v>
      </c>
      <c r="G2013" s="611" t="s">
        <v>1845</v>
      </c>
      <c r="H2013" s="615">
        <v>0</v>
      </c>
      <c r="I2013" s="611" t="s">
        <v>1845</v>
      </c>
      <c r="J2013" s="15">
        <v>4000000</v>
      </c>
      <c r="K2013" s="99">
        <v>4000000</v>
      </c>
      <c r="L2013" s="13"/>
      <c r="M2013" s="17"/>
      <c r="N2013" s="17"/>
      <c r="O2013" s="17"/>
      <c r="P2013" s="17"/>
      <c r="Q2013" s="17"/>
      <c r="R2013" s="17"/>
      <c r="S2013" s="17"/>
      <c r="T2013" s="17"/>
      <c r="U2013" s="17"/>
      <c r="V2013" s="17"/>
      <c r="W2013" s="17"/>
      <c r="X2013" s="17"/>
      <c r="Y2013" s="136">
        <f t="shared" si="651"/>
        <v>100</v>
      </c>
      <c r="Z2013" s="136">
        <f t="shared" si="652"/>
        <v>100</v>
      </c>
      <c r="AA2013" s="25">
        <v>4000000</v>
      </c>
      <c r="AB2013" s="98">
        <f t="shared" si="653"/>
        <v>100</v>
      </c>
      <c r="AC2013" s="25">
        <f t="shared" si="654"/>
        <v>4000000</v>
      </c>
      <c r="AD2013" s="98">
        <f t="shared" si="655"/>
        <v>100</v>
      </c>
    </row>
    <row r="2014" spans="2:30">
      <c r="B2014" s="13"/>
      <c r="C2014" s="86" t="s">
        <v>1104</v>
      </c>
      <c r="D2014" s="86" t="s">
        <v>1105</v>
      </c>
      <c r="E2014" s="204"/>
      <c r="F2014" s="204"/>
      <c r="G2014" s="611"/>
      <c r="H2014" s="615"/>
      <c r="I2014" s="611"/>
      <c r="J2014" s="15"/>
      <c r="K2014" s="25"/>
      <c r="L2014" s="13"/>
      <c r="M2014" s="17"/>
      <c r="N2014" s="17"/>
      <c r="O2014" s="17"/>
      <c r="P2014" s="17"/>
      <c r="Q2014" s="17"/>
      <c r="R2014" s="17"/>
      <c r="S2014" s="17"/>
      <c r="T2014" s="17"/>
      <c r="U2014" s="17"/>
      <c r="V2014" s="17"/>
      <c r="W2014" s="17"/>
      <c r="X2014" s="17"/>
      <c r="Y2014" s="136">
        <f t="shared" si="651"/>
        <v>0</v>
      </c>
      <c r="Z2014" s="136">
        <f t="shared" si="652"/>
        <v>0</v>
      </c>
      <c r="AA2014" s="25"/>
      <c r="AB2014" s="98"/>
      <c r="AC2014" s="25"/>
      <c r="AD2014" s="98"/>
    </row>
    <row r="2015" spans="2:30">
      <c r="B2015" s="45">
        <v>7</v>
      </c>
      <c r="C2015" s="74" t="s">
        <v>306</v>
      </c>
      <c r="D2015" s="74" t="s">
        <v>1106</v>
      </c>
      <c r="E2015" s="489"/>
      <c r="F2015" s="489">
        <v>1</v>
      </c>
      <c r="G2015" s="611" t="s">
        <v>1845</v>
      </c>
      <c r="H2015" s="615">
        <v>0</v>
      </c>
      <c r="I2015" s="611" t="s">
        <v>1845</v>
      </c>
      <c r="J2015" s="15">
        <v>51186000</v>
      </c>
      <c r="K2015" s="99">
        <v>64686000</v>
      </c>
      <c r="L2015" s="45"/>
      <c r="M2015" s="44"/>
      <c r="N2015" s="44"/>
      <c r="O2015" s="44"/>
      <c r="P2015" s="44"/>
      <c r="Q2015" s="44"/>
      <c r="R2015" s="44"/>
      <c r="S2015" s="44"/>
      <c r="T2015" s="44"/>
      <c r="U2015" s="44"/>
      <c r="V2015" s="44"/>
      <c r="W2015" s="44"/>
      <c r="X2015" s="44"/>
      <c r="Y2015" s="136">
        <f t="shared" si="651"/>
        <v>99.339888074699317</v>
      </c>
      <c r="Z2015" s="136">
        <f t="shared" si="652"/>
        <v>99.339888074699317</v>
      </c>
      <c r="AA2015" s="40">
        <v>64259000</v>
      </c>
      <c r="AB2015" s="98">
        <f t="shared" si="653"/>
        <v>99.339888074699317</v>
      </c>
      <c r="AC2015" s="40">
        <f t="shared" si="654"/>
        <v>64259000</v>
      </c>
      <c r="AD2015" s="98">
        <f>AC2015/K2015*100</f>
        <v>99.339888074699317</v>
      </c>
    </row>
    <row r="2016" spans="2:30">
      <c r="B2016" s="37">
        <v>149</v>
      </c>
      <c r="C2016" s="855" t="s">
        <v>1150</v>
      </c>
      <c r="D2016" s="855"/>
      <c r="E2016" s="483"/>
      <c r="F2016" s="483">
        <f>SUM(F2007:F2015)</f>
        <v>7</v>
      </c>
      <c r="G2016" s="567" t="s">
        <v>1845</v>
      </c>
      <c r="H2016" s="483">
        <f>SUM(H2007:H2015)</f>
        <v>0</v>
      </c>
      <c r="I2016" s="567" t="s">
        <v>1845</v>
      </c>
      <c r="J2016" s="208">
        <f>SUM(J2007:J2015)</f>
        <v>338320000</v>
      </c>
      <c r="K2016" s="208">
        <f>SUM(K2007:K2015)</f>
        <v>632188000</v>
      </c>
      <c r="L2016" s="295"/>
      <c r="M2016" s="28"/>
      <c r="N2016" s="28"/>
      <c r="O2016" s="28"/>
      <c r="P2016" s="28"/>
      <c r="Q2016" s="28"/>
      <c r="R2016" s="28"/>
      <c r="S2016" s="28"/>
      <c r="T2016" s="28"/>
      <c r="U2016" s="28"/>
      <c r="V2016" s="28"/>
      <c r="W2016" s="28"/>
      <c r="X2016" s="28"/>
      <c r="Y2016" s="84">
        <f>SUM(Y2007:Y2015)/7</f>
        <v>99.258924077700314</v>
      </c>
      <c r="Z2016" s="84">
        <f>SUM(Z2007:Z2015)/7</f>
        <v>99.258924077700314</v>
      </c>
      <c r="AA2016" s="84">
        <f>SUM(AA2007:AA2015)</f>
        <v>624868356</v>
      </c>
      <c r="AB2016" s="84">
        <f>SUM(AB2007:AB2015)/7</f>
        <v>99.258924077700314</v>
      </c>
      <c r="AC2016" s="84">
        <f>SUM(AC2007:AC2015)</f>
        <v>624868356</v>
      </c>
      <c r="AD2016" s="84">
        <f>SUM(AD2007:AD2015)/7</f>
        <v>99.258924077700314</v>
      </c>
    </row>
    <row r="2017" spans="2:30">
      <c r="B2017" s="66"/>
      <c r="C2017" s="63" t="s">
        <v>1104</v>
      </c>
      <c r="D2017" s="64" t="s">
        <v>1151</v>
      </c>
      <c r="E2017" s="484"/>
      <c r="F2017" s="484">
        <v>6</v>
      </c>
      <c r="G2017" s="611" t="s">
        <v>1845</v>
      </c>
      <c r="H2017" s="615">
        <v>0</v>
      </c>
      <c r="I2017" s="611" t="s">
        <v>1845</v>
      </c>
      <c r="J2017" s="65"/>
      <c r="K2017" s="65"/>
      <c r="L2017" s="66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  <c r="W2017" s="63"/>
      <c r="X2017" s="63"/>
      <c r="Y2017" s="63"/>
      <c r="Z2017" s="63"/>
      <c r="AA2017" s="63"/>
      <c r="AB2017" s="63"/>
      <c r="AC2017" s="63"/>
      <c r="AD2017" s="63"/>
    </row>
    <row r="2018" spans="2:30">
      <c r="B2018" s="66">
        <v>1</v>
      </c>
      <c r="C2018" s="63">
        <v>21.54</v>
      </c>
      <c r="D2018" s="58" t="s">
        <v>2343</v>
      </c>
      <c r="E2018" s="484"/>
      <c r="F2018" s="484"/>
      <c r="G2018" s="611"/>
      <c r="H2018" s="615"/>
      <c r="I2018" s="565"/>
      <c r="J2018" s="65"/>
      <c r="K2018" s="99">
        <v>210000000</v>
      </c>
      <c r="L2018" s="66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  <c r="W2018" s="63"/>
      <c r="X2018" s="63"/>
      <c r="Y2018" s="63">
        <v>100</v>
      </c>
      <c r="Z2018" s="63">
        <v>100</v>
      </c>
      <c r="AA2018" s="63">
        <v>209160000</v>
      </c>
      <c r="AB2018" s="19">
        <f>AA2018/K2018*100</f>
        <v>99.6</v>
      </c>
      <c r="AC2018" s="63">
        <f>AA2018</f>
        <v>209160000</v>
      </c>
      <c r="AD2018" s="19">
        <f>AC2018/K2018*100</f>
        <v>99.6</v>
      </c>
    </row>
    <row r="2019" spans="2:30" ht="27">
      <c r="B2019" s="13"/>
      <c r="C2019" s="86" t="s">
        <v>942</v>
      </c>
      <c r="D2019" s="86" t="s">
        <v>26</v>
      </c>
      <c r="E2019" s="485"/>
      <c r="F2019" s="485"/>
      <c r="G2019" s="441"/>
      <c r="H2019" s="87"/>
      <c r="I2019" s="87"/>
      <c r="J2019" s="209"/>
      <c r="K2019" s="16"/>
      <c r="L2019" s="13"/>
      <c r="M2019" s="17"/>
      <c r="N2019" s="17"/>
      <c r="O2019" s="17"/>
      <c r="P2019" s="17"/>
      <c r="Q2019" s="17"/>
      <c r="R2019" s="17"/>
      <c r="S2019" s="17"/>
      <c r="T2019" s="17"/>
      <c r="U2019" s="17"/>
      <c r="V2019" s="17"/>
      <c r="W2019" s="17"/>
      <c r="X2019" s="17"/>
      <c r="Y2019" s="17"/>
      <c r="Z2019" s="17"/>
      <c r="AA2019" s="17"/>
      <c r="AB2019" s="17"/>
      <c r="AC2019" s="17"/>
      <c r="AD2019" s="17"/>
    </row>
    <row r="2020" spans="2:30">
      <c r="B2020" s="13">
        <v>2</v>
      </c>
      <c r="C2020" s="74" t="s">
        <v>203</v>
      </c>
      <c r="D2020" s="74" t="s">
        <v>28</v>
      </c>
      <c r="E2020" s="204"/>
      <c r="F2020" s="528">
        <v>1</v>
      </c>
      <c r="G2020" s="611" t="s">
        <v>1845</v>
      </c>
      <c r="H2020" s="615">
        <v>0</v>
      </c>
      <c r="I2020" s="611" t="s">
        <v>1845</v>
      </c>
      <c r="J2020" s="15">
        <v>62280000</v>
      </c>
      <c r="K2020" s="99">
        <v>128961000</v>
      </c>
      <c r="L2020" s="13"/>
      <c r="M2020" s="17"/>
      <c r="N2020" s="17"/>
      <c r="O2020" s="17"/>
      <c r="P2020" s="17"/>
      <c r="Q2020" s="17"/>
      <c r="R2020" s="17"/>
      <c r="S2020" s="17"/>
      <c r="T2020" s="17"/>
      <c r="U2020" s="17"/>
      <c r="V2020" s="17"/>
      <c r="W2020" s="17"/>
      <c r="X2020" s="17"/>
      <c r="Y2020" s="53">
        <f>AB2020</f>
        <v>85.449205573778116</v>
      </c>
      <c r="Z2020" s="53">
        <f>AD2020</f>
        <v>85.449205573778116</v>
      </c>
      <c r="AA2020" s="22">
        <v>110196150</v>
      </c>
      <c r="AB2020" s="19">
        <f>AA2020/K2020*100</f>
        <v>85.449205573778116</v>
      </c>
      <c r="AC2020" s="22">
        <f>AA2020</f>
        <v>110196150</v>
      </c>
      <c r="AD2020" s="19">
        <f>AC2020/K2020*100</f>
        <v>85.449205573778116</v>
      </c>
    </row>
    <row r="2021" spans="2:30">
      <c r="B2021" s="13">
        <v>3</v>
      </c>
      <c r="C2021" s="74" t="s">
        <v>210</v>
      </c>
      <c r="D2021" s="74" t="s">
        <v>30</v>
      </c>
      <c r="E2021" s="204"/>
      <c r="F2021" s="528">
        <v>1</v>
      </c>
      <c r="G2021" s="611" t="s">
        <v>1845</v>
      </c>
      <c r="H2021" s="615">
        <v>0</v>
      </c>
      <c r="I2021" s="611" t="s">
        <v>1845</v>
      </c>
      <c r="J2021" s="15">
        <v>7358000</v>
      </c>
      <c r="K2021" s="99">
        <v>12000000</v>
      </c>
      <c r="L2021" s="13"/>
      <c r="M2021" s="17"/>
      <c r="N2021" s="17"/>
      <c r="O2021" s="17"/>
      <c r="P2021" s="17"/>
      <c r="Q2021" s="17"/>
      <c r="R2021" s="17"/>
      <c r="S2021" s="17"/>
      <c r="T2021" s="17"/>
      <c r="U2021" s="17"/>
      <c r="V2021" s="17"/>
      <c r="W2021" s="17"/>
      <c r="X2021" s="17"/>
      <c r="Y2021" s="53">
        <f t="shared" ref="Y2021:Y2026" si="656">AB2021</f>
        <v>76.166666666666671</v>
      </c>
      <c r="Z2021" s="53">
        <f t="shared" ref="Z2021:Z2026" si="657">AD2021</f>
        <v>76.166666666666671</v>
      </c>
      <c r="AA2021" s="22">
        <v>9140000</v>
      </c>
      <c r="AB2021" s="19">
        <f t="shared" ref="AB2021:AB2026" si="658">AA2021/K2021*100</f>
        <v>76.166666666666671</v>
      </c>
      <c r="AC2021" s="22">
        <f t="shared" ref="AC2021:AC2026" si="659">AA2021</f>
        <v>9140000</v>
      </c>
      <c r="AD2021" s="19">
        <f t="shared" ref="AD2021:AD2026" si="660">AC2021/K2021*100</f>
        <v>76.166666666666671</v>
      </c>
    </row>
    <row r="2022" spans="2:30">
      <c r="B2022" s="13">
        <v>4</v>
      </c>
      <c r="C2022" s="74" t="s">
        <v>204</v>
      </c>
      <c r="D2022" s="74" t="s">
        <v>32</v>
      </c>
      <c r="E2022" s="204"/>
      <c r="F2022" s="528">
        <v>1</v>
      </c>
      <c r="G2022" s="611" t="s">
        <v>1845</v>
      </c>
      <c r="H2022" s="615">
        <v>0</v>
      </c>
      <c r="I2022" s="611" t="s">
        <v>1845</v>
      </c>
      <c r="J2022" s="15">
        <v>70398000</v>
      </c>
      <c r="K2022" s="99">
        <v>71961000</v>
      </c>
      <c r="L2022" s="13"/>
      <c r="M2022" s="17"/>
      <c r="N2022" s="17"/>
      <c r="O2022" s="17"/>
      <c r="P2022" s="17"/>
      <c r="Q2022" s="17"/>
      <c r="R2022" s="17"/>
      <c r="S2022" s="17"/>
      <c r="T2022" s="17"/>
      <c r="U2022" s="17"/>
      <c r="V2022" s="17"/>
      <c r="W2022" s="17"/>
      <c r="X2022" s="17"/>
      <c r="Y2022" s="53">
        <f t="shared" si="656"/>
        <v>96.797137338280464</v>
      </c>
      <c r="Z2022" s="53">
        <f t="shared" si="657"/>
        <v>96.797137338280464</v>
      </c>
      <c r="AA2022" s="22">
        <v>69656188</v>
      </c>
      <c r="AB2022" s="19">
        <f t="shared" si="658"/>
        <v>96.797137338280464</v>
      </c>
      <c r="AC2022" s="22">
        <f t="shared" si="659"/>
        <v>69656188</v>
      </c>
      <c r="AD2022" s="19">
        <f t="shared" si="660"/>
        <v>96.797137338280464</v>
      </c>
    </row>
    <row r="2023" spans="2:30">
      <c r="B2023" s="13">
        <v>5</v>
      </c>
      <c r="C2023" s="74" t="s">
        <v>205</v>
      </c>
      <c r="D2023" s="74" t="s">
        <v>34</v>
      </c>
      <c r="E2023" s="204"/>
      <c r="F2023" s="528">
        <v>1</v>
      </c>
      <c r="G2023" s="611" t="s">
        <v>1845</v>
      </c>
      <c r="H2023" s="615">
        <v>0</v>
      </c>
      <c r="I2023" s="611" t="s">
        <v>1845</v>
      </c>
      <c r="J2023" s="15">
        <v>31700000</v>
      </c>
      <c r="K2023" s="99">
        <v>28900000</v>
      </c>
      <c r="L2023" s="13"/>
      <c r="M2023" s="17"/>
      <c r="N2023" s="17"/>
      <c r="O2023" s="17"/>
      <c r="P2023" s="17"/>
      <c r="Q2023" s="17"/>
      <c r="R2023" s="17"/>
      <c r="S2023" s="17"/>
      <c r="T2023" s="17"/>
      <c r="U2023" s="17"/>
      <c r="V2023" s="17"/>
      <c r="W2023" s="17"/>
      <c r="X2023" s="17"/>
      <c r="Y2023" s="53">
        <f t="shared" si="656"/>
        <v>99.948096885813158</v>
      </c>
      <c r="Z2023" s="53">
        <f t="shared" si="657"/>
        <v>99.948096885813158</v>
      </c>
      <c r="AA2023" s="22">
        <v>28885000</v>
      </c>
      <c r="AB2023" s="19">
        <f t="shared" si="658"/>
        <v>99.948096885813158</v>
      </c>
      <c r="AC2023" s="22">
        <f t="shared" si="659"/>
        <v>28885000</v>
      </c>
      <c r="AD2023" s="19">
        <f t="shared" si="660"/>
        <v>99.948096885813158</v>
      </c>
    </row>
    <row r="2024" spans="2:30">
      <c r="B2024" s="13">
        <v>6</v>
      </c>
      <c r="C2024" s="123" t="s">
        <v>943</v>
      </c>
      <c r="D2024" s="21" t="s">
        <v>944</v>
      </c>
      <c r="E2024" s="485"/>
      <c r="F2024" s="528">
        <v>1</v>
      </c>
      <c r="G2024" s="611" t="s">
        <v>1845</v>
      </c>
      <c r="H2024" s="615">
        <v>0</v>
      </c>
      <c r="I2024" s="611" t="s">
        <v>1845</v>
      </c>
      <c r="J2024" s="15">
        <v>4000000</v>
      </c>
      <c r="K2024" s="99">
        <v>4000000</v>
      </c>
      <c r="L2024" s="13"/>
      <c r="M2024" s="17"/>
      <c r="N2024" s="17"/>
      <c r="O2024" s="17"/>
      <c r="P2024" s="17"/>
      <c r="Q2024" s="17"/>
      <c r="R2024" s="17"/>
      <c r="S2024" s="17"/>
      <c r="T2024" s="17"/>
      <c r="U2024" s="17"/>
      <c r="V2024" s="17"/>
      <c r="W2024" s="17"/>
      <c r="X2024" s="17"/>
      <c r="Y2024" s="53">
        <f t="shared" si="656"/>
        <v>100</v>
      </c>
      <c r="Z2024" s="53">
        <f t="shared" si="657"/>
        <v>100</v>
      </c>
      <c r="AA2024" s="22">
        <v>4000000</v>
      </c>
      <c r="AB2024" s="19">
        <f t="shared" si="658"/>
        <v>100</v>
      </c>
      <c r="AC2024" s="22">
        <f t="shared" si="659"/>
        <v>4000000</v>
      </c>
      <c r="AD2024" s="19">
        <f t="shared" si="660"/>
        <v>100</v>
      </c>
    </row>
    <row r="2025" spans="2:30">
      <c r="B2025" s="13"/>
      <c r="C2025" s="86" t="s">
        <v>1104</v>
      </c>
      <c r="D2025" s="86" t="s">
        <v>1105</v>
      </c>
      <c r="E2025" s="204"/>
      <c r="F2025" s="528"/>
      <c r="G2025" s="611"/>
      <c r="H2025" s="615"/>
      <c r="I2025" s="611"/>
      <c r="J2025" s="15"/>
      <c r="K2025" s="25"/>
      <c r="L2025" s="13"/>
      <c r="M2025" s="17"/>
      <c r="N2025" s="17"/>
      <c r="O2025" s="17"/>
      <c r="P2025" s="17"/>
      <c r="Q2025" s="17"/>
      <c r="R2025" s="17"/>
      <c r="S2025" s="17"/>
      <c r="T2025" s="17"/>
      <c r="U2025" s="17"/>
      <c r="V2025" s="17"/>
      <c r="W2025" s="17"/>
      <c r="X2025" s="17"/>
      <c r="Y2025" s="53"/>
      <c r="Z2025" s="53"/>
      <c r="AA2025" s="22"/>
      <c r="AB2025" s="19"/>
      <c r="AC2025" s="22"/>
      <c r="AD2025" s="19"/>
    </row>
    <row r="2026" spans="2:30">
      <c r="B2026" s="45">
        <v>7</v>
      </c>
      <c r="C2026" s="74" t="s">
        <v>306</v>
      </c>
      <c r="D2026" s="74" t="s">
        <v>1106</v>
      </c>
      <c r="E2026" s="489"/>
      <c r="F2026" s="608">
        <v>1</v>
      </c>
      <c r="G2026" s="611" t="s">
        <v>1845</v>
      </c>
      <c r="H2026" s="615">
        <v>0</v>
      </c>
      <c r="I2026" s="611" t="s">
        <v>1845</v>
      </c>
      <c r="J2026" s="15">
        <v>34740000</v>
      </c>
      <c r="K2026" s="99">
        <v>53609000</v>
      </c>
      <c r="L2026" s="45"/>
      <c r="M2026" s="44"/>
      <c r="N2026" s="44"/>
      <c r="O2026" s="44"/>
      <c r="P2026" s="44"/>
      <c r="Q2026" s="44"/>
      <c r="R2026" s="44"/>
      <c r="S2026" s="44"/>
      <c r="T2026" s="44"/>
      <c r="U2026" s="44"/>
      <c r="V2026" s="44"/>
      <c r="W2026" s="44"/>
      <c r="X2026" s="44"/>
      <c r="Y2026" s="53">
        <f t="shared" si="656"/>
        <v>93.183980301814998</v>
      </c>
      <c r="Z2026" s="53">
        <f t="shared" si="657"/>
        <v>93.183980301814998</v>
      </c>
      <c r="AA2026" s="73">
        <v>49955000</v>
      </c>
      <c r="AB2026" s="19">
        <f t="shared" si="658"/>
        <v>93.183980301814998</v>
      </c>
      <c r="AC2026" s="73">
        <f t="shared" si="659"/>
        <v>49955000</v>
      </c>
      <c r="AD2026" s="19">
        <f t="shared" si="660"/>
        <v>93.183980301814998</v>
      </c>
    </row>
    <row r="2027" spans="2:30">
      <c r="B2027" s="37">
        <v>150</v>
      </c>
      <c r="C2027" s="855" t="s">
        <v>1152</v>
      </c>
      <c r="D2027" s="855"/>
      <c r="E2027" s="483"/>
      <c r="F2027" s="483">
        <v>7</v>
      </c>
      <c r="G2027" s="567" t="s">
        <v>1845</v>
      </c>
      <c r="H2027" s="483">
        <f>SUM(H2020:H2026)</f>
        <v>0</v>
      </c>
      <c r="I2027" s="567" t="s">
        <v>1845</v>
      </c>
      <c r="J2027" s="208">
        <f>SUM(J2020:J2026)</f>
        <v>210476000</v>
      </c>
      <c r="K2027" s="208">
        <f>SUM(K2018:K2026)</f>
        <v>509431000</v>
      </c>
      <c r="L2027" s="37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8"/>
      <c r="Y2027" s="82">
        <f>SUM(Y2018:Y2026)/7</f>
        <v>93.077869538050479</v>
      </c>
      <c r="Z2027" s="82">
        <f>SUM(Z2018:Z2026)/7</f>
        <v>93.077869538050479</v>
      </c>
      <c r="AA2027" s="245">
        <f>SUM(AA2018:AA2026)</f>
        <v>480992338</v>
      </c>
      <c r="AB2027" s="82">
        <f>SUM(AB2018:AB2026)/7</f>
        <v>93.020726680907629</v>
      </c>
      <c r="AC2027" s="245">
        <f>SUM(AC2018:AC2026)</f>
        <v>480992338</v>
      </c>
      <c r="AD2027" s="82">
        <f>SUM(AD2018:AD2026)/7</f>
        <v>93.020726680907629</v>
      </c>
    </row>
    <row r="2028" spans="2:30">
      <c r="B2028" s="66"/>
      <c r="C2028" s="63" t="s">
        <v>1153</v>
      </c>
      <c r="D2028" s="64" t="s">
        <v>1154</v>
      </c>
      <c r="E2028" s="484"/>
      <c r="F2028" s="506">
        <v>7</v>
      </c>
      <c r="G2028" s="611" t="s">
        <v>1845</v>
      </c>
      <c r="H2028" s="615">
        <v>0</v>
      </c>
      <c r="I2028" s="611" t="s">
        <v>1845</v>
      </c>
      <c r="J2028" s="65"/>
      <c r="K2028" s="65"/>
      <c r="L2028" s="66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  <c r="W2028" s="63"/>
      <c r="X2028" s="63"/>
      <c r="Y2028" s="63"/>
      <c r="Z2028" s="63"/>
      <c r="AA2028" s="63"/>
      <c r="AB2028" s="63"/>
      <c r="AC2028" s="63"/>
      <c r="AD2028" s="63"/>
    </row>
    <row r="2029" spans="2:30" ht="25.5">
      <c r="B2029" s="66"/>
      <c r="C2029" s="246">
        <v>24.021000000000001</v>
      </c>
      <c r="D2029" s="210" t="s">
        <v>544</v>
      </c>
      <c r="E2029" s="484"/>
      <c r="F2029" s="484"/>
      <c r="G2029" s="472"/>
      <c r="H2029" s="242"/>
      <c r="I2029" s="242"/>
      <c r="J2029" s="65"/>
      <c r="K2029" s="65"/>
      <c r="L2029" s="66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  <c r="W2029" s="63"/>
      <c r="X2029" s="63"/>
      <c r="Y2029" s="63"/>
      <c r="Z2029" s="63"/>
      <c r="AA2029" s="63"/>
      <c r="AB2029" s="63"/>
      <c r="AC2029" s="63"/>
      <c r="AD2029" s="63"/>
    </row>
    <row r="2030" spans="2:30" ht="25.5">
      <c r="B2030" s="66">
        <v>1</v>
      </c>
      <c r="C2030" s="247" t="s">
        <v>1155</v>
      </c>
      <c r="D2030" s="49" t="s">
        <v>1156</v>
      </c>
      <c r="E2030" s="484"/>
      <c r="F2030" s="484">
        <v>1</v>
      </c>
      <c r="G2030" s="611" t="s">
        <v>1845</v>
      </c>
      <c r="H2030" s="615">
        <v>0</v>
      </c>
      <c r="I2030" s="611" t="s">
        <v>1845</v>
      </c>
      <c r="J2030" s="15">
        <v>100000000</v>
      </c>
      <c r="K2030" s="99">
        <v>100000000</v>
      </c>
      <c r="L2030" s="66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  <c r="W2030" s="63"/>
      <c r="X2030" s="63"/>
      <c r="Y2030" s="461">
        <f>AB2030</f>
        <v>100</v>
      </c>
      <c r="Z2030" s="461">
        <f>AD2030</f>
        <v>100</v>
      </c>
      <c r="AA2030" s="135">
        <v>100000000</v>
      </c>
      <c r="AB2030" s="63">
        <f>AA2030/K2030*100</f>
        <v>100</v>
      </c>
      <c r="AC2030" s="137">
        <f>AA2030</f>
        <v>100000000</v>
      </c>
      <c r="AD2030" s="63">
        <f>AC2030/K2030*100</f>
        <v>100</v>
      </c>
    </row>
    <row r="2031" spans="2:30">
      <c r="B2031" s="66">
        <v>2</v>
      </c>
      <c r="C2031" s="247">
        <v>21.52</v>
      </c>
      <c r="D2031" s="58" t="s">
        <v>2344</v>
      </c>
      <c r="E2031" s="484"/>
      <c r="F2031" s="484"/>
      <c r="G2031" s="611"/>
      <c r="H2031" s="615"/>
      <c r="I2031" s="611"/>
      <c r="J2031" s="15"/>
      <c r="K2031" s="99">
        <v>200000000</v>
      </c>
      <c r="L2031" s="66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  <c r="W2031" s="63"/>
      <c r="X2031" s="63"/>
      <c r="Y2031" s="134">
        <f>AB2031</f>
        <v>99.5715</v>
      </c>
      <c r="Z2031" s="134">
        <f>AD2031</f>
        <v>99.5715</v>
      </c>
      <c r="AA2031" s="63">
        <v>199143000</v>
      </c>
      <c r="AB2031" s="63">
        <f t="shared" ref="AB2031:AB2032" si="661">AA2031/K2031*100</f>
        <v>99.5715</v>
      </c>
      <c r="AC2031" s="137">
        <f t="shared" ref="AC2031:AC2032" si="662">AA2031</f>
        <v>199143000</v>
      </c>
      <c r="AD2031" s="63">
        <f t="shared" ref="AD2031:AD2032" si="663">AC2031/K2031*100</f>
        <v>99.5715</v>
      </c>
    </row>
    <row r="2032" spans="2:30" ht="25.5">
      <c r="B2032" s="66">
        <v>3</v>
      </c>
      <c r="C2032" s="247">
        <v>21.51</v>
      </c>
      <c r="D2032" s="75" t="s">
        <v>2345</v>
      </c>
      <c r="E2032" s="484"/>
      <c r="F2032" s="484"/>
      <c r="G2032" s="611"/>
      <c r="H2032" s="615"/>
      <c r="I2032" s="611"/>
      <c r="J2032" s="15"/>
      <c r="K2032" s="99">
        <v>151000000</v>
      </c>
      <c r="L2032" s="66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  <c r="W2032" s="63"/>
      <c r="X2032" s="63"/>
      <c r="Y2032" s="134">
        <f>AB2032</f>
        <v>100</v>
      </c>
      <c r="Z2032" s="134">
        <f>AD2032</f>
        <v>100</v>
      </c>
      <c r="AA2032" s="63">
        <v>151000000</v>
      </c>
      <c r="AB2032" s="63">
        <f t="shared" si="661"/>
        <v>100</v>
      </c>
      <c r="AC2032" s="137">
        <f t="shared" si="662"/>
        <v>151000000</v>
      </c>
      <c r="AD2032" s="63">
        <f t="shared" si="663"/>
        <v>100</v>
      </c>
    </row>
    <row r="2033" spans="2:30" ht="27">
      <c r="B2033" s="13"/>
      <c r="C2033" s="160" t="s">
        <v>942</v>
      </c>
      <c r="D2033" s="86" t="s">
        <v>26</v>
      </c>
      <c r="E2033" s="485"/>
      <c r="F2033" s="485"/>
      <c r="G2033" s="611"/>
      <c r="H2033" s="615"/>
      <c r="I2033" s="611"/>
      <c r="J2033" s="130"/>
      <c r="K2033" s="16"/>
      <c r="L2033" s="13"/>
      <c r="M2033" s="17"/>
      <c r="N2033" s="17"/>
      <c r="O2033" s="17"/>
      <c r="P2033" s="17"/>
      <c r="Q2033" s="17"/>
      <c r="R2033" s="17"/>
      <c r="S2033" s="17"/>
      <c r="T2033" s="17"/>
      <c r="U2033" s="17"/>
      <c r="V2033" s="17"/>
      <c r="W2033" s="17"/>
      <c r="X2033" s="17"/>
      <c r="Y2033" s="20"/>
      <c r="Z2033" s="17"/>
      <c r="AA2033" s="22"/>
      <c r="AB2033" s="17"/>
      <c r="AC2033" s="22"/>
      <c r="AD2033" s="17"/>
    </row>
    <row r="2034" spans="2:30">
      <c r="B2034" s="13">
        <v>4</v>
      </c>
      <c r="C2034" s="74" t="s">
        <v>203</v>
      </c>
      <c r="D2034" s="74" t="s">
        <v>28</v>
      </c>
      <c r="E2034" s="204"/>
      <c r="F2034" s="204">
        <v>1</v>
      </c>
      <c r="G2034" s="611" t="s">
        <v>1845</v>
      </c>
      <c r="H2034" s="615">
        <v>0</v>
      </c>
      <c r="I2034" s="611" t="s">
        <v>1845</v>
      </c>
      <c r="J2034" s="15">
        <v>56879000</v>
      </c>
      <c r="K2034" s="99">
        <v>104154000</v>
      </c>
      <c r="L2034" s="13"/>
      <c r="M2034" s="17"/>
      <c r="N2034" s="17"/>
      <c r="O2034" s="17"/>
      <c r="P2034" s="17"/>
      <c r="Q2034" s="17"/>
      <c r="R2034" s="17"/>
      <c r="S2034" s="17"/>
      <c r="T2034" s="17"/>
      <c r="U2034" s="17"/>
      <c r="V2034" s="17"/>
      <c r="W2034" s="17"/>
      <c r="X2034" s="17"/>
      <c r="Y2034" s="19">
        <f>AB2034</f>
        <v>86.813678783340052</v>
      </c>
      <c r="Z2034" s="19">
        <f>AD2034</f>
        <v>86.813678783340052</v>
      </c>
      <c r="AA2034" s="22">
        <v>90419919</v>
      </c>
      <c r="AB2034" s="98">
        <f>AA2034/K2034*100</f>
        <v>86.813678783340052</v>
      </c>
      <c r="AC2034" s="22">
        <f>AA2034</f>
        <v>90419919</v>
      </c>
      <c r="AD2034" s="98">
        <f>AC2034/K2034*100</f>
        <v>86.813678783340052</v>
      </c>
    </row>
    <row r="2035" spans="2:30">
      <c r="B2035" s="13">
        <v>5</v>
      </c>
      <c r="C2035" s="74" t="s">
        <v>210</v>
      </c>
      <c r="D2035" s="74" t="s">
        <v>30</v>
      </c>
      <c r="E2035" s="204"/>
      <c r="F2035" s="204">
        <v>1</v>
      </c>
      <c r="G2035" s="611" t="s">
        <v>1845</v>
      </c>
      <c r="H2035" s="615">
        <v>0</v>
      </c>
      <c r="I2035" s="611" t="s">
        <v>1845</v>
      </c>
      <c r="J2035" s="15">
        <v>17000000</v>
      </c>
      <c r="K2035" s="99">
        <v>17000000</v>
      </c>
      <c r="L2035" s="13"/>
      <c r="M2035" s="17"/>
      <c r="N2035" s="17"/>
      <c r="O2035" s="17"/>
      <c r="P2035" s="17"/>
      <c r="Q2035" s="17"/>
      <c r="R2035" s="17"/>
      <c r="S2035" s="17"/>
      <c r="T2035" s="17"/>
      <c r="U2035" s="17"/>
      <c r="V2035" s="17"/>
      <c r="W2035" s="17"/>
      <c r="X2035" s="17"/>
      <c r="Y2035" s="19">
        <f>AB2035</f>
        <v>84.35294117647058</v>
      </c>
      <c r="Z2035" s="19">
        <f>AD2035</f>
        <v>84.35294117647058</v>
      </c>
      <c r="AA2035" s="22">
        <v>14340000</v>
      </c>
      <c r="AB2035" s="98">
        <f t="shared" ref="AB2035:AB2040" si="664">AA2035/K2035*100</f>
        <v>84.35294117647058</v>
      </c>
      <c r="AC2035" s="22">
        <f t="shared" ref="AC2035:AC2040" si="665">AA2035</f>
        <v>14340000</v>
      </c>
      <c r="AD2035" s="98">
        <f t="shared" ref="AD2035:AD2040" si="666">AC2035/K2035*100</f>
        <v>84.35294117647058</v>
      </c>
    </row>
    <row r="2036" spans="2:30">
      <c r="B2036" s="13">
        <v>6</v>
      </c>
      <c r="C2036" s="74" t="s">
        <v>204</v>
      </c>
      <c r="D2036" s="74" t="s">
        <v>32</v>
      </c>
      <c r="E2036" s="204"/>
      <c r="F2036" s="204">
        <v>1</v>
      </c>
      <c r="G2036" s="611" t="s">
        <v>1845</v>
      </c>
      <c r="H2036" s="615">
        <v>0</v>
      </c>
      <c r="I2036" s="611" t="s">
        <v>1845</v>
      </c>
      <c r="J2036" s="15">
        <v>99057000</v>
      </c>
      <c r="K2036" s="99">
        <v>97267000</v>
      </c>
      <c r="L2036" s="13"/>
      <c r="M2036" s="17"/>
      <c r="N2036" s="17"/>
      <c r="O2036" s="17"/>
      <c r="P2036" s="17"/>
      <c r="Q2036" s="17"/>
      <c r="R2036" s="17"/>
      <c r="S2036" s="17"/>
      <c r="T2036" s="17"/>
      <c r="U2036" s="17"/>
      <c r="V2036" s="17"/>
      <c r="W2036" s="17"/>
      <c r="X2036" s="17"/>
      <c r="Y2036" s="19">
        <f>AB2036</f>
        <v>91.061255101935913</v>
      </c>
      <c r="Z2036" s="19">
        <f>AD2036</f>
        <v>91.061255101935913</v>
      </c>
      <c r="AA2036" s="22">
        <v>88572551</v>
      </c>
      <c r="AB2036" s="98">
        <f t="shared" si="664"/>
        <v>91.061255101935913</v>
      </c>
      <c r="AC2036" s="22">
        <f t="shared" si="665"/>
        <v>88572551</v>
      </c>
      <c r="AD2036" s="98">
        <f t="shared" si="666"/>
        <v>91.061255101935913</v>
      </c>
    </row>
    <row r="2037" spans="2:30">
      <c r="B2037" s="13">
        <v>7</v>
      </c>
      <c r="C2037" s="74" t="s">
        <v>205</v>
      </c>
      <c r="D2037" s="74" t="s">
        <v>34</v>
      </c>
      <c r="E2037" s="528"/>
      <c r="F2037" s="204">
        <v>1</v>
      </c>
      <c r="G2037" s="611" t="s">
        <v>1845</v>
      </c>
      <c r="H2037" s="615">
        <v>0</v>
      </c>
      <c r="I2037" s="611" t="s">
        <v>1845</v>
      </c>
      <c r="J2037" s="15">
        <v>27000000</v>
      </c>
      <c r="K2037" s="99">
        <v>36200000</v>
      </c>
      <c r="L2037" s="13"/>
      <c r="M2037" s="17"/>
      <c r="N2037" s="17"/>
      <c r="O2037" s="17"/>
      <c r="P2037" s="17"/>
      <c r="Q2037" s="17"/>
      <c r="R2037" s="17"/>
      <c r="S2037" s="17"/>
      <c r="T2037" s="17"/>
      <c r="U2037" s="17"/>
      <c r="V2037" s="17"/>
      <c r="W2037" s="17"/>
      <c r="X2037" s="17"/>
      <c r="Y2037" s="19">
        <f>AB2037</f>
        <v>99.930939226519328</v>
      </c>
      <c r="Z2037" s="19">
        <f>AD2037</f>
        <v>99.930939226519328</v>
      </c>
      <c r="AA2037" s="22">
        <v>36175000</v>
      </c>
      <c r="AB2037" s="98">
        <f t="shared" si="664"/>
        <v>99.930939226519328</v>
      </c>
      <c r="AC2037" s="22">
        <f t="shared" si="665"/>
        <v>36175000</v>
      </c>
      <c r="AD2037" s="98">
        <f t="shared" si="666"/>
        <v>99.930939226519328</v>
      </c>
    </row>
    <row r="2038" spans="2:30" ht="25.5">
      <c r="B2038" s="13">
        <v>8</v>
      </c>
      <c r="C2038" s="123" t="s">
        <v>216</v>
      </c>
      <c r="D2038" s="21" t="s">
        <v>38</v>
      </c>
      <c r="E2038" s="485"/>
      <c r="F2038" s="485">
        <v>1</v>
      </c>
      <c r="G2038" s="611" t="s">
        <v>1845</v>
      </c>
      <c r="H2038" s="615">
        <v>0</v>
      </c>
      <c r="I2038" s="611" t="s">
        <v>1845</v>
      </c>
      <c r="J2038" s="15">
        <v>4000000</v>
      </c>
      <c r="K2038" s="99">
        <v>4000000</v>
      </c>
      <c r="L2038" s="13"/>
      <c r="M2038" s="17"/>
      <c r="N2038" s="17"/>
      <c r="O2038" s="17"/>
      <c r="P2038" s="17"/>
      <c r="Q2038" s="17"/>
      <c r="R2038" s="17"/>
      <c r="S2038" s="17"/>
      <c r="T2038" s="17"/>
      <c r="U2038" s="17"/>
      <c r="V2038" s="17"/>
      <c r="W2038" s="17"/>
      <c r="X2038" s="17"/>
      <c r="Y2038" s="19">
        <f>AB2038</f>
        <v>77</v>
      </c>
      <c r="Z2038" s="19">
        <f>AD2038</f>
        <v>77</v>
      </c>
      <c r="AA2038" s="22">
        <v>3080000</v>
      </c>
      <c r="AB2038" s="98">
        <f t="shared" si="664"/>
        <v>77</v>
      </c>
      <c r="AC2038" s="22">
        <f t="shared" si="665"/>
        <v>3080000</v>
      </c>
      <c r="AD2038" s="98">
        <f t="shared" si="666"/>
        <v>77</v>
      </c>
    </row>
    <row r="2039" spans="2:30">
      <c r="B2039" s="13"/>
      <c r="C2039" s="86" t="s">
        <v>1104</v>
      </c>
      <c r="D2039" s="86" t="s">
        <v>1105</v>
      </c>
      <c r="E2039" s="204"/>
      <c r="F2039" s="204"/>
      <c r="G2039" s="611"/>
      <c r="H2039" s="615"/>
      <c r="I2039" s="611"/>
      <c r="J2039" s="15"/>
      <c r="K2039" s="25"/>
      <c r="L2039" s="13"/>
      <c r="M2039" s="17"/>
      <c r="N2039" s="17"/>
      <c r="O2039" s="17"/>
      <c r="P2039" s="17"/>
      <c r="Q2039" s="17"/>
      <c r="R2039" s="17"/>
      <c r="S2039" s="17"/>
      <c r="T2039" s="17"/>
      <c r="U2039" s="17"/>
      <c r="V2039" s="17"/>
      <c r="W2039" s="17"/>
      <c r="X2039" s="17"/>
      <c r="Y2039" s="20"/>
      <c r="Z2039" s="17"/>
      <c r="AA2039" s="22"/>
      <c r="AB2039" s="98"/>
      <c r="AC2039" s="22">
        <f t="shared" si="665"/>
        <v>0</v>
      </c>
      <c r="AD2039" s="98"/>
    </row>
    <row r="2040" spans="2:30">
      <c r="B2040" s="45">
        <v>9</v>
      </c>
      <c r="C2040" s="74" t="s">
        <v>306</v>
      </c>
      <c r="D2040" s="74" t="s">
        <v>1106</v>
      </c>
      <c r="E2040" s="489"/>
      <c r="F2040" s="489">
        <v>1</v>
      </c>
      <c r="G2040" s="611" t="s">
        <v>1845</v>
      </c>
      <c r="H2040" s="615">
        <v>0</v>
      </c>
      <c r="I2040" s="611" t="s">
        <v>1845</v>
      </c>
      <c r="J2040" s="15">
        <v>44614000</v>
      </c>
      <c r="K2040" s="99">
        <v>57414000</v>
      </c>
      <c r="L2040" s="45"/>
      <c r="M2040" s="44"/>
      <c r="N2040" s="44"/>
      <c r="O2040" s="44"/>
      <c r="P2040" s="44"/>
      <c r="Q2040" s="44"/>
      <c r="R2040" s="44"/>
      <c r="S2040" s="44"/>
      <c r="T2040" s="44"/>
      <c r="U2040" s="44"/>
      <c r="V2040" s="44"/>
      <c r="W2040" s="44"/>
      <c r="X2040" s="44"/>
      <c r="Y2040" s="46">
        <f>AB2040</f>
        <v>95.798934057895295</v>
      </c>
      <c r="Z2040" s="46">
        <f>AD2040</f>
        <v>95.798934057895295</v>
      </c>
      <c r="AA2040" s="73">
        <v>55002000</v>
      </c>
      <c r="AB2040" s="98">
        <f t="shared" si="664"/>
        <v>95.798934057895295</v>
      </c>
      <c r="AC2040" s="73">
        <f t="shared" si="665"/>
        <v>55002000</v>
      </c>
      <c r="AD2040" s="98">
        <f t="shared" si="666"/>
        <v>95.798934057895295</v>
      </c>
    </row>
    <row r="2041" spans="2:30" ht="20.25" customHeight="1">
      <c r="B2041" s="37">
        <v>151</v>
      </c>
      <c r="C2041" s="855" t="s">
        <v>1157</v>
      </c>
      <c r="D2041" s="855"/>
      <c r="E2041" s="483"/>
      <c r="F2041" s="483">
        <v>9</v>
      </c>
      <c r="G2041" s="567" t="s">
        <v>1845</v>
      </c>
      <c r="H2041" s="483">
        <f>SUM(H2030:H2040)</f>
        <v>0</v>
      </c>
      <c r="I2041" s="567" t="s">
        <v>1845</v>
      </c>
      <c r="J2041" s="208">
        <f>SUM(J2030:J2040)</f>
        <v>348550000</v>
      </c>
      <c r="K2041" s="208">
        <f>SUM(K2030:K2040)</f>
        <v>767035000</v>
      </c>
      <c r="L2041" s="37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38"/>
      <c r="Y2041" s="84">
        <f>SUM(Y2030:Y2040)/9</f>
        <v>92.725472038462343</v>
      </c>
      <c r="Z2041" s="84">
        <f>SUM(Z2030:Z2040)/9</f>
        <v>92.725472038462343</v>
      </c>
      <c r="AA2041" s="68">
        <f>SUM(AA2030:AA2040)</f>
        <v>737732470</v>
      </c>
      <c r="AB2041" s="84">
        <f>SUM(AB2030:AB2040)/9</f>
        <v>92.725472038462343</v>
      </c>
      <c r="AC2041" s="68">
        <f>SUM(AC2030:AC2040)</f>
        <v>737732470</v>
      </c>
      <c r="AD2041" s="84">
        <f>SUM(AD2030:AD2040)/9</f>
        <v>92.725472038462343</v>
      </c>
    </row>
    <row r="2042" spans="2:30" ht="16.5" customHeight="1">
      <c r="B2042" s="66"/>
      <c r="C2042" s="63" t="s">
        <v>1158</v>
      </c>
      <c r="D2042" s="64" t="s">
        <v>1159</v>
      </c>
      <c r="E2042" s="484"/>
      <c r="F2042" s="484"/>
      <c r="G2042" s="611" t="s">
        <v>1845</v>
      </c>
      <c r="H2042" s="615">
        <v>0</v>
      </c>
      <c r="I2042" s="611" t="s">
        <v>1845</v>
      </c>
      <c r="J2042" s="65"/>
      <c r="K2042" s="65"/>
      <c r="L2042" s="66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  <c r="W2042" s="63"/>
      <c r="X2042" s="63"/>
      <c r="Y2042" s="63"/>
      <c r="Z2042" s="63"/>
      <c r="AA2042" s="63"/>
      <c r="AB2042" s="63"/>
      <c r="AC2042" s="63"/>
      <c r="AD2042" s="63"/>
    </row>
    <row r="2043" spans="2:30" ht="21" customHeight="1">
      <c r="B2043" s="66">
        <v>1</v>
      </c>
      <c r="C2043" s="63">
        <v>21.44</v>
      </c>
      <c r="D2043" s="17" t="s">
        <v>2118</v>
      </c>
      <c r="E2043" s="484"/>
      <c r="F2043" s="484"/>
      <c r="G2043" s="611"/>
      <c r="H2043" s="615"/>
      <c r="I2043" s="565"/>
      <c r="J2043" s="65"/>
      <c r="K2043" s="99">
        <v>200000000</v>
      </c>
      <c r="L2043" s="66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  <c r="W2043" s="63"/>
      <c r="X2043" s="63"/>
      <c r="Y2043" s="63">
        <v>100</v>
      </c>
      <c r="Z2043" s="63">
        <v>100</v>
      </c>
      <c r="AA2043" s="135">
        <v>180690000</v>
      </c>
      <c r="AB2043" s="19">
        <f>AA2043/K2043*100</f>
        <v>90.344999999999999</v>
      </c>
      <c r="AC2043" s="135">
        <f>AA2043</f>
        <v>180690000</v>
      </c>
      <c r="AD2043" s="19">
        <f>AC2043/K2043*100</f>
        <v>90.344999999999999</v>
      </c>
    </row>
    <row r="2044" spans="2:30" ht="27">
      <c r="B2044" s="13"/>
      <c r="C2044" s="86" t="s">
        <v>942</v>
      </c>
      <c r="D2044" s="86" t="s">
        <v>26</v>
      </c>
      <c r="E2044" s="485"/>
      <c r="F2044" s="485"/>
      <c r="G2044" s="441"/>
      <c r="H2044" s="87"/>
      <c r="I2044" s="87"/>
      <c r="J2044" s="209"/>
      <c r="K2044" s="16"/>
      <c r="L2044" s="13"/>
      <c r="M2044" s="17" t="s">
        <v>1</v>
      </c>
      <c r="N2044" s="17"/>
      <c r="O2044" s="17"/>
      <c r="P2044" s="17"/>
      <c r="Q2044" s="17"/>
      <c r="R2044" s="17"/>
      <c r="S2044" s="17"/>
      <c r="T2044" s="17"/>
      <c r="U2044" s="17"/>
      <c r="V2044" s="17"/>
      <c r="W2044" s="17"/>
      <c r="X2044" s="17"/>
      <c r="Y2044" s="17"/>
      <c r="Z2044" s="17"/>
      <c r="AA2044" s="17"/>
      <c r="AB2044" s="17"/>
      <c r="AC2044" s="17"/>
      <c r="AD2044" s="17"/>
    </row>
    <row r="2045" spans="2:30">
      <c r="B2045" s="13">
        <v>2</v>
      </c>
      <c r="C2045" s="74" t="s">
        <v>203</v>
      </c>
      <c r="D2045" s="74" t="s">
        <v>28</v>
      </c>
      <c r="E2045" s="204"/>
      <c r="F2045" s="528">
        <v>1</v>
      </c>
      <c r="G2045" s="611" t="s">
        <v>1845</v>
      </c>
      <c r="H2045" s="615">
        <v>0</v>
      </c>
      <c r="I2045" s="611" t="s">
        <v>1845</v>
      </c>
      <c r="J2045" s="15">
        <v>62251000</v>
      </c>
      <c r="K2045" s="99">
        <v>132418000</v>
      </c>
      <c r="L2045" s="13"/>
      <c r="M2045" s="17"/>
      <c r="N2045" s="17"/>
      <c r="O2045" s="17"/>
      <c r="P2045" s="17"/>
      <c r="Q2045" s="17"/>
      <c r="R2045" s="17"/>
      <c r="S2045" s="17"/>
      <c r="T2045" s="17"/>
      <c r="U2045" s="17"/>
      <c r="V2045" s="17"/>
      <c r="W2045" s="17"/>
      <c r="X2045" s="17"/>
      <c r="Y2045" s="53">
        <f>AB2045</f>
        <v>90.880803969248888</v>
      </c>
      <c r="Z2045" s="53">
        <f>AD2045</f>
        <v>90.880803969248888</v>
      </c>
      <c r="AA2045" s="22">
        <v>120342543</v>
      </c>
      <c r="AB2045" s="19">
        <f>AA2045/K2045*100</f>
        <v>90.880803969248888</v>
      </c>
      <c r="AC2045" s="22">
        <f>AA2045</f>
        <v>120342543</v>
      </c>
      <c r="AD2045" s="19">
        <f>AC2045/K2045*100</f>
        <v>90.880803969248888</v>
      </c>
    </row>
    <row r="2046" spans="2:30">
      <c r="B2046" s="13">
        <v>3</v>
      </c>
      <c r="C2046" s="74" t="s">
        <v>210</v>
      </c>
      <c r="D2046" s="74" t="s">
        <v>30</v>
      </c>
      <c r="E2046" s="204"/>
      <c r="F2046" s="528">
        <v>1</v>
      </c>
      <c r="G2046" s="611" t="s">
        <v>1845</v>
      </c>
      <c r="H2046" s="615">
        <v>0</v>
      </c>
      <c r="I2046" s="611" t="s">
        <v>1845</v>
      </c>
      <c r="J2046" s="15">
        <v>15540000</v>
      </c>
      <c r="K2046" s="99">
        <v>12670000</v>
      </c>
      <c r="L2046" s="13"/>
      <c r="M2046" s="17"/>
      <c r="N2046" s="17"/>
      <c r="O2046" s="17"/>
      <c r="P2046" s="17"/>
      <c r="Q2046" s="17"/>
      <c r="R2046" s="17"/>
      <c r="S2046" s="17"/>
      <c r="T2046" s="17"/>
      <c r="U2046" s="17"/>
      <c r="V2046" s="17"/>
      <c r="W2046" s="17"/>
      <c r="X2046" s="17"/>
      <c r="Y2046" s="53">
        <f t="shared" ref="Y2046:Y2051" si="667">AB2046</f>
        <v>93.172849250197316</v>
      </c>
      <c r="Z2046" s="53">
        <f t="shared" ref="Z2046:Z2051" si="668">AD2046</f>
        <v>93.172849250197316</v>
      </c>
      <c r="AA2046" s="22">
        <v>11805000</v>
      </c>
      <c r="AB2046" s="19">
        <f t="shared" ref="AB2046:AB2051" si="669">AA2046/K2046*100</f>
        <v>93.172849250197316</v>
      </c>
      <c r="AC2046" s="22">
        <f t="shared" ref="AC2046:AC2051" si="670">AA2046</f>
        <v>11805000</v>
      </c>
      <c r="AD2046" s="19">
        <f t="shared" ref="AD2046:AD2051" si="671">AC2046/K2046*100</f>
        <v>93.172849250197316</v>
      </c>
    </row>
    <row r="2047" spans="2:30">
      <c r="B2047" s="13">
        <v>4</v>
      </c>
      <c r="C2047" s="74" t="s">
        <v>204</v>
      </c>
      <c r="D2047" s="74" t="s">
        <v>32</v>
      </c>
      <c r="E2047" s="204"/>
      <c r="F2047" s="528">
        <v>1</v>
      </c>
      <c r="G2047" s="611" t="s">
        <v>1845</v>
      </c>
      <c r="H2047" s="615">
        <v>0</v>
      </c>
      <c r="I2047" s="611" t="s">
        <v>1845</v>
      </c>
      <c r="J2047" s="15">
        <v>86309000</v>
      </c>
      <c r="K2047" s="99">
        <v>85260000</v>
      </c>
      <c r="L2047" s="13"/>
      <c r="M2047" s="17"/>
      <c r="N2047" s="17"/>
      <c r="O2047" s="17"/>
      <c r="P2047" s="17"/>
      <c r="Q2047" s="17"/>
      <c r="R2047" s="17"/>
      <c r="S2047" s="17"/>
      <c r="T2047" s="17"/>
      <c r="U2047" s="17"/>
      <c r="V2047" s="17"/>
      <c r="W2047" s="17"/>
      <c r="X2047" s="17"/>
      <c r="Y2047" s="53">
        <f t="shared" si="667"/>
        <v>89.637344593009615</v>
      </c>
      <c r="Z2047" s="53">
        <f t="shared" si="668"/>
        <v>89.637344593009615</v>
      </c>
      <c r="AA2047" s="22">
        <v>76424800</v>
      </c>
      <c r="AB2047" s="19">
        <f t="shared" si="669"/>
        <v>89.637344593009615</v>
      </c>
      <c r="AC2047" s="22">
        <f t="shared" si="670"/>
        <v>76424800</v>
      </c>
      <c r="AD2047" s="19">
        <f t="shared" si="671"/>
        <v>89.637344593009615</v>
      </c>
    </row>
    <row r="2048" spans="2:30">
      <c r="B2048" s="13">
        <v>5</v>
      </c>
      <c r="C2048" s="74" t="s">
        <v>205</v>
      </c>
      <c r="D2048" s="74" t="s">
        <v>34</v>
      </c>
      <c r="E2048" s="204"/>
      <c r="F2048" s="528">
        <v>1</v>
      </c>
      <c r="G2048" s="611" t="s">
        <v>1845</v>
      </c>
      <c r="H2048" s="615">
        <v>0</v>
      </c>
      <c r="I2048" s="611" t="s">
        <v>1845</v>
      </c>
      <c r="J2048" s="15">
        <v>32925000</v>
      </c>
      <c r="K2048" s="99">
        <v>42075000</v>
      </c>
      <c r="L2048" s="13"/>
      <c r="M2048" s="17"/>
      <c r="N2048" s="17"/>
      <c r="O2048" s="17"/>
      <c r="P2048" s="17"/>
      <c r="Q2048" s="17"/>
      <c r="R2048" s="17"/>
      <c r="S2048" s="17"/>
      <c r="T2048" s="17"/>
      <c r="U2048" s="17"/>
      <c r="V2048" s="17"/>
      <c r="W2048" s="17"/>
      <c r="X2048" s="17"/>
      <c r="Y2048" s="53">
        <f t="shared" si="667"/>
        <v>100</v>
      </c>
      <c r="Z2048" s="53">
        <f t="shared" si="668"/>
        <v>100</v>
      </c>
      <c r="AA2048" s="22">
        <v>42075000</v>
      </c>
      <c r="AB2048" s="19">
        <f t="shared" si="669"/>
        <v>100</v>
      </c>
      <c r="AC2048" s="22">
        <f t="shared" si="670"/>
        <v>42075000</v>
      </c>
      <c r="AD2048" s="19">
        <f t="shared" si="671"/>
        <v>100</v>
      </c>
    </row>
    <row r="2049" spans="1:30" ht="25.5">
      <c r="B2049" s="13">
        <v>6</v>
      </c>
      <c r="C2049" s="123" t="s">
        <v>216</v>
      </c>
      <c r="D2049" s="21" t="s">
        <v>38</v>
      </c>
      <c r="E2049" s="485"/>
      <c r="F2049" s="528">
        <v>1</v>
      </c>
      <c r="G2049" s="611" t="s">
        <v>1845</v>
      </c>
      <c r="H2049" s="615">
        <v>0</v>
      </c>
      <c r="I2049" s="611" t="s">
        <v>1845</v>
      </c>
      <c r="J2049" s="15">
        <v>4000000</v>
      </c>
      <c r="K2049" s="99">
        <v>4000000</v>
      </c>
      <c r="L2049" s="13"/>
      <c r="M2049" s="17"/>
      <c r="N2049" s="17"/>
      <c r="O2049" s="17"/>
      <c r="P2049" s="17"/>
      <c r="Q2049" s="17"/>
      <c r="R2049" s="17"/>
      <c r="S2049" s="17"/>
      <c r="T2049" s="17"/>
      <c r="U2049" s="17"/>
      <c r="V2049" s="17"/>
      <c r="W2049" s="17"/>
      <c r="X2049" s="17"/>
      <c r="Y2049" s="53">
        <f t="shared" ref="Y2049" si="672">AB2049</f>
        <v>94.55</v>
      </c>
      <c r="Z2049" s="53">
        <f t="shared" ref="Z2049" si="673">AD2049</f>
        <v>94.55</v>
      </c>
      <c r="AA2049" s="22">
        <v>3782000</v>
      </c>
      <c r="AB2049" s="19">
        <f t="shared" si="669"/>
        <v>94.55</v>
      </c>
      <c r="AC2049" s="22">
        <f t="shared" si="670"/>
        <v>3782000</v>
      </c>
      <c r="AD2049" s="19">
        <f t="shared" si="671"/>
        <v>94.55</v>
      </c>
    </row>
    <row r="2050" spans="1:30">
      <c r="B2050" s="13"/>
      <c r="C2050" s="86" t="s">
        <v>1104</v>
      </c>
      <c r="D2050" s="86" t="s">
        <v>1105</v>
      </c>
      <c r="E2050" s="204"/>
      <c r="F2050" s="528"/>
      <c r="G2050" s="611"/>
      <c r="H2050" s="615"/>
      <c r="I2050" s="611"/>
      <c r="J2050" s="15"/>
      <c r="K2050" s="25"/>
      <c r="L2050" s="13"/>
      <c r="M2050" s="17"/>
      <c r="N2050" s="17"/>
      <c r="O2050" s="17"/>
      <c r="P2050" s="17"/>
      <c r="Q2050" s="17"/>
      <c r="R2050" s="17"/>
      <c r="S2050" s="17"/>
      <c r="T2050" s="17"/>
      <c r="U2050" s="17"/>
      <c r="V2050" s="17"/>
      <c r="W2050" s="17"/>
      <c r="X2050" s="17"/>
      <c r="Y2050" s="53"/>
      <c r="Z2050" s="53"/>
      <c r="AA2050" s="22"/>
      <c r="AB2050" s="19"/>
      <c r="AC2050" s="22"/>
      <c r="AD2050" s="19"/>
    </row>
    <row r="2051" spans="1:30">
      <c r="B2051" s="45">
        <v>7</v>
      </c>
      <c r="C2051" s="74" t="s">
        <v>306</v>
      </c>
      <c r="D2051" s="74" t="s">
        <v>1106</v>
      </c>
      <c r="E2051" s="489"/>
      <c r="F2051" s="608">
        <v>1</v>
      </c>
      <c r="G2051" s="611" t="s">
        <v>1845</v>
      </c>
      <c r="H2051" s="615">
        <v>0</v>
      </c>
      <c r="I2051" s="611" t="s">
        <v>1845</v>
      </c>
      <c r="J2051" s="15">
        <v>44620000</v>
      </c>
      <c r="K2051" s="99">
        <v>59992000</v>
      </c>
      <c r="L2051" s="45"/>
      <c r="M2051" s="44"/>
      <c r="N2051" s="44"/>
      <c r="O2051" s="44"/>
      <c r="P2051" s="44"/>
      <c r="Q2051" s="44"/>
      <c r="R2051" s="44"/>
      <c r="S2051" s="44"/>
      <c r="T2051" s="44"/>
      <c r="U2051" s="44"/>
      <c r="V2051" s="44"/>
      <c r="W2051" s="44"/>
      <c r="X2051" s="44"/>
      <c r="Y2051" s="55">
        <f t="shared" si="667"/>
        <v>86.656554207227629</v>
      </c>
      <c r="Z2051" s="55">
        <f t="shared" si="668"/>
        <v>86.656554207227629</v>
      </c>
      <c r="AA2051" s="73">
        <v>51987000</v>
      </c>
      <c r="AB2051" s="19">
        <f t="shared" si="669"/>
        <v>86.656554207227629</v>
      </c>
      <c r="AC2051" s="73">
        <f t="shared" si="670"/>
        <v>51987000</v>
      </c>
      <c r="AD2051" s="19">
        <f t="shared" si="671"/>
        <v>86.656554207227629</v>
      </c>
    </row>
    <row r="2052" spans="1:30">
      <c r="B2052" s="37">
        <v>152</v>
      </c>
      <c r="C2052" s="855" t="s">
        <v>1160</v>
      </c>
      <c r="D2052" s="855"/>
      <c r="E2052" s="483"/>
      <c r="F2052" s="483">
        <v>7</v>
      </c>
      <c r="G2052" s="567" t="s">
        <v>1845</v>
      </c>
      <c r="H2052" s="483">
        <f>SUM(H2045:H2051)</f>
        <v>0</v>
      </c>
      <c r="I2052" s="567" t="s">
        <v>1845</v>
      </c>
      <c r="J2052" s="208">
        <f>SUM(J2045:J2051)</f>
        <v>245645000</v>
      </c>
      <c r="K2052" s="208">
        <f>SUM(K2043:K2051)</f>
        <v>536415000</v>
      </c>
      <c r="L2052" s="37"/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  <c r="X2052" s="38"/>
      <c r="Y2052" s="82">
        <f>SUM(Y2043:Y2051)/7</f>
        <v>93.556793145669062</v>
      </c>
      <c r="Z2052" s="82">
        <f>SUM(Z2043:Z2051)/7</f>
        <v>93.556793145669062</v>
      </c>
      <c r="AA2052" s="245">
        <f>SUM(AA2043:AA2051)</f>
        <v>487106343</v>
      </c>
      <c r="AB2052" s="82">
        <f>SUM(AB2043:AB2051)/7</f>
        <v>92.177507431383347</v>
      </c>
      <c r="AC2052" s="245">
        <f>SUM(AC2043:AC2051)</f>
        <v>487106343</v>
      </c>
      <c r="AD2052" s="82">
        <f>SUM(AD2043:AD2051)/7</f>
        <v>92.177507431383347</v>
      </c>
    </row>
    <row r="2053" spans="1:30">
      <c r="B2053" s="66"/>
      <c r="C2053" s="63" t="s">
        <v>1088</v>
      </c>
      <c r="D2053" s="64" t="s">
        <v>1161</v>
      </c>
      <c r="E2053" s="484"/>
      <c r="F2053" s="506"/>
      <c r="G2053" s="472"/>
      <c r="H2053" s="506"/>
      <c r="I2053" s="472"/>
      <c r="J2053" s="65"/>
      <c r="K2053" s="65"/>
      <c r="L2053" s="66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  <c r="W2053" s="63"/>
      <c r="X2053" s="63"/>
      <c r="Y2053" s="63"/>
      <c r="Z2053" s="63"/>
      <c r="AA2053" s="63"/>
      <c r="AB2053" s="63"/>
      <c r="AC2053" s="63"/>
      <c r="AD2053" s="63"/>
    </row>
    <row r="2054" spans="1:30">
      <c r="B2054" s="13">
        <f>B2053+1</f>
        <v>1</v>
      </c>
      <c r="C2054" s="17" t="s">
        <v>206</v>
      </c>
      <c r="D2054" s="39" t="s">
        <v>28</v>
      </c>
      <c r="E2054" s="204"/>
      <c r="F2054" s="204"/>
      <c r="G2054" s="193"/>
      <c r="H2054" s="204"/>
      <c r="I2054" s="193"/>
      <c r="J2054" s="15">
        <v>20129000</v>
      </c>
      <c r="K2054" s="99">
        <v>55154000</v>
      </c>
      <c r="L2054" s="13"/>
      <c r="M2054" s="17"/>
      <c r="N2054" s="17"/>
      <c r="O2054" s="17"/>
      <c r="P2054" s="17"/>
      <c r="Q2054" s="17"/>
      <c r="R2054" s="17"/>
      <c r="S2054" s="17"/>
      <c r="T2054" s="17"/>
      <c r="U2054" s="17"/>
      <c r="V2054" s="17"/>
      <c r="W2054" s="17"/>
      <c r="X2054" s="17"/>
      <c r="Y2054" s="53">
        <f>AB2054</f>
        <v>78.392002393298768</v>
      </c>
      <c r="Z2054" s="53">
        <f>AD2054</f>
        <v>78.392002393298768</v>
      </c>
      <c r="AA2054" s="22">
        <v>43236325</v>
      </c>
      <c r="AB2054" s="19">
        <f>AA2054/K2054*100</f>
        <v>78.392002393298768</v>
      </c>
      <c r="AC2054" s="22">
        <f>AA2054</f>
        <v>43236325</v>
      </c>
      <c r="AD2054" s="19">
        <f>AC2054/K2054*100</f>
        <v>78.392002393298768</v>
      </c>
    </row>
    <row r="2055" spans="1:30">
      <c r="B2055" s="13">
        <f>B2054+1</f>
        <v>2</v>
      </c>
      <c r="C2055" s="17" t="s">
        <v>207</v>
      </c>
      <c r="D2055" s="39" t="s">
        <v>30</v>
      </c>
      <c r="E2055" s="204"/>
      <c r="F2055" s="204"/>
      <c r="G2055" s="193"/>
      <c r="H2055" s="204"/>
      <c r="I2055" s="193"/>
      <c r="J2055" s="15">
        <v>990000</v>
      </c>
      <c r="K2055" s="99">
        <v>990000</v>
      </c>
      <c r="L2055" s="13"/>
      <c r="M2055" s="17"/>
      <c r="N2055" s="17"/>
      <c r="O2055" s="17"/>
      <c r="P2055" s="17"/>
      <c r="Q2055" s="17"/>
      <c r="R2055" s="17"/>
      <c r="S2055" s="17"/>
      <c r="T2055" s="17"/>
      <c r="U2055" s="17"/>
      <c r="V2055" s="17"/>
      <c r="W2055" s="17"/>
      <c r="X2055" s="17"/>
      <c r="Y2055" s="53">
        <f t="shared" ref="Y2055:Y2058" si="674">AB2055</f>
        <v>94.141414141414131</v>
      </c>
      <c r="Z2055" s="53">
        <f t="shared" ref="Z2055:Z2058" si="675">AD2055</f>
        <v>94.141414141414131</v>
      </c>
      <c r="AA2055" s="22">
        <v>932000</v>
      </c>
      <c r="AB2055" s="19">
        <f t="shared" ref="AB2055:AB2058" si="676">AA2055/K2055*100</f>
        <v>94.141414141414131</v>
      </c>
      <c r="AC2055" s="22">
        <f>AA2055</f>
        <v>932000</v>
      </c>
      <c r="AD2055" s="19">
        <f t="shared" ref="AD2055:AD2058" si="677">AC2055/K2055*100</f>
        <v>94.141414141414131</v>
      </c>
    </row>
    <row r="2056" spans="1:30">
      <c r="B2056" s="13">
        <f>B2055+1</f>
        <v>3</v>
      </c>
      <c r="C2056" s="17" t="s">
        <v>208</v>
      </c>
      <c r="D2056" s="39" t="s">
        <v>32</v>
      </c>
      <c r="E2056" s="204"/>
      <c r="F2056" s="204"/>
      <c r="G2056" s="193"/>
      <c r="H2056" s="204"/>
      <c r="I2056" s="193"/>
      <c r="J2056" s="15">
        <v>34893000</v>
      </c>
      <c r="K2056" s="99">
        <v>34773000</v>
      </c>
      <c r="L2056" s="13"/>
      <c r="M2056" s="17"/>
      <c r="N2056" s="17"/>
      <c r="O2056" s="17"/>
      <c r="P2056" s="17"/>
      <c r="Q2056" s="17"/>
      <c r="R2056" s="17"/>
      <c r="S2056" s="17"/>
      <c r="T2056" s="17"/>
      <c r="U2056" s="17"/>
      <c r="V2056" s="17"/>
      <c r="W2056" s="17"/>
      <c r="X2056" s="17"/>
      <c r="Y2056" s="53">
        <f t="shared" si="674"/>
        <v>87.049003537227151</v>
      </c>
      <c r="Z2056" s="53">
        <f t="shared" si="675"/>
        <v>87.049003537227151</v>
      </c>
      <c r="AA2056" s="22">
        <v>30269550</v>
      </c>
      <c r="AB2056" s="19">
        <f t="shared" si="676"/>
        <v>87.049003537227151</v>
      </c>
      <c r="AC2056" s="22">
        <f>AA2056</f>
        <v>30269550</v>
      </c>
      <c r="AD2056" s="19">
        <f t="shared" si="677"/>
        <v>87.049003537227151</v>
      </c>
    </row>
    <row r="2057" spans="1:30">
      <c r="B2057" s="45">
        <f>B2056+1</f>
        <v>4</v>
      </c>
      <c r="C2057" s="44" t="s">
        <v>209</v>
      </c>
      <c r="D2057" s="78" t="s">
        <v>34</v>
      </c>
      <c r="E2057" s="489"/>
      <c r="F2057" s="489"/>
      <c r="G2057" s="240"/>
      <c r="H2057" s="489"/>
      <c r="I2057" s="240"/>
      <c r="J2057" s="15">
        <v>9400000</v>
      </c>
      <c r="K2057" s="99">
        <v>10000000</v>
      </c>
      <c r="L2057" s="45"/>
      <c r="M2057" s="44"/>
      <c r="N2057" s="44"/>
      <c r="O2057" s="44"/>
      <c r="P2057" s="44"/>
      <c r="Q2057" s="44"/>
      <c r="R2057" s="44"/>
      <c r="S2057" s="44"/>
      <c r="T2057" s="44"/>
      <c r="U2057" s="44"/>
      <c r="V2057" s="44"/>
      <c r="W2057" s="44"/>
      <c r="X2057" s="44"/>
      <c r="Y2057" s="53">
        <f t="shared" si="674"/>
        <v>100</v>
      </c>
      <c r="Z2057" s="53">
        <f t="shared" si="675"/>
        <v>100</v>
      </c>
      <c r="AA2057" s="73">
        <v>10000000</v>
      </c>
      <c r="AB2057" s="19">
        <f t="shared" si="676"/>
        <v>100</v>
      </c>
      <c r="AC2057" s="73">
        <f>AA2057</f>
        <v>10000000</v>
      </c>
      <c r="AD2057" s="19">
        <f t="shared" si="677"/>
        <v>100</v>
      </c>
    </row>
    <row r="2058" spans="1:30">
      <c r="B2058" s="45">
        <f>B2057+1</f>
        <v>5</v>
      </c>
      <c r="C2058" s="670" t="s">
        <v>2346</v>
      </c>
      <c r="D2058" s="58" t="s">
        <v>2347</v>
      </c>
      <c r="E2058" s="347"/>
      <c r="F2058" s="347"/>
      <c r="G2058" s="498"/>
      <c r="H2058" s="347"/>
      <c r="I2058" s="498"/>
      <c r="J2058" s="598"/>
      <c r="K2058" s="99">
        <v>114714000</v>
      </c>
      <c r="L2058" s="47"/>
      <c r="M2058" s="51"/>
      <c r="N2058" s="51"/>
      <c r="O2058" s="51"/>
      <c r="P2058" s="51"/>
      <c r="Q2058" s="51"/>
      <c r="R2058" s="51"/>
      <c r="S2058" s="51"/>
      <c r="T2058" s="51"/>
      <c r="U2058" s="51"/>
      <c r="V2058" s="51"/>
      <c r="W2058" s="51"/>
      <c r="X2058" s="51"/>
      <c r="Y2058" s="53">
        <f t="shared" si="674"/>
        <v>94.168105026413514</v>
      </c>
      <c r="Z2058" s="53">
        <f t="shared" si="675"/>
        <v>94.168105026413514</v>
      </c>
      <c r="AA2058" s="112">
        <v>108024000</v>
      </c>
      <c r="AB2058" s="19">
        <f t="shared" si="676"/>
        <v>94.168105026413514</v>
      </c>
      <c r="AC2058" s="112">
        <f>AA2058</f>
        <v>108024000</v>
      </c>
      <c r="AD2058" s="19">
        <f t="shared" si="677"/>
        <v>94.168105026413514</v>
      </c>
    </row>
    <row r="2059" spans="1:30">
      <c r="B2059" s="37">
        <v>153</v>
      </c>
      <c r="C2059" s="855" t="s">
        <v>1162</v>
      </c>
      <c r="D2059" s="855"/>
      <c r="E2059" s="483"/>
      <c r="F2059" s="483">
        <v>5</v>
      </c>
      <c r="G2059" s="468"/>
      <c r="H2059" s="483"/>
      <c r="I2059" s="468"/>
      <c r="J2059" s="35">
        <f>SUM(J2054:J2057)</f>
        <v>65412000</v>
      </c>
      <c r="K2059" s="35">
        <f>SUM(K2054:K2058)</f>
        <v>215631000</v>
      </c>
      <c r="L2059" s="295"/>
      <c r="M2059" s="28"/>
      <c r="N2059" s="28"/>
      <c r="O2059" s="28"/>
      <c r="P2059" s="28"/>
      <c r="Q2059" s="28"/>
      <c r="R2059" s="28"/>
      <c r="S2059" s="28"/>
      <c r="T2059" s="28"/>
      <c r="U2059" s="28"/>
      <c r="V2059" s="28"/>
      <c r="W2059" s="28"/>
      <c r="X2059" s="28"/>
      <c r="Y2059" s="84">
        <f>SUM(Y2054:Y2057)/4</f>
        <v>89.895605017985019</v>
      </c>
      <c r="Z2059" s="84">
        <f>SUM(Z2054:Z2057)/4</f>
        <v>89.895605017985019</v>
      </c>
      <c r="AA2059" s="68">
        <f>SUM(AA2054:AA2058)</f>
        <v>192461875</v>
      </c>
      <c r="AB2059" s="84">
        <f>SUM(AB2054:AB2057)/4</f>
        <v>89.895605017985019</v>
      </c>
      <c r="AC2059" s="68">
        <f>SUM(AC2054:AC2058)</f>
        <v>192461875</v>
      </c>
      <c r="AD2059" s="84">
        <f>SUM(AD2054:AD2057)/4</f>
        <v>89.895605017985019</v>
      </c>
    </row>
    <row r="2060" spans="1:30">
      <c r="B2060" s="66"/>
      <c r="C2060" s="63" t="s">
        <v>1019</v>
      </c>
      <c r="D2060" s="64" t="s">
        <v>1163</v>
      </c>
      <c r="E2060" s="484"/>
      <c r="F2060" s="484"/>
      <c r="G2060" s="472"/>
      <c r="H2060" s="484"/>
      <c r="I2060" s="472"/>
      <c r="J2060" s="65"/>
      <c r="K2060" s="65"/>
      <c r="L2060" s="66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  <c r="W2060" s="63"/>
      <c r="X2060" s="63"/>
      <c r="Y2060" s="63"/>
      <c r="Z2060" s="63"/>
      <c r="AA2060" s="63"/>
      <c r="AB2060" s="63"/>
      <c r="AC2060" s="63"/>
      <c r="AD2060" s="63"/>
    </row>
    <row r="2061" spans="1:30">
      <c r="B2061" s="13">
        <f>B2060+1</f>
        <v>1</v>
      </c>
      <c r="C2061" s="17" t="s">
        <v>206</v>
      </c>
      <c r="D2061" s="39" t="s">
        <v>28</v>
      </c>
      <c r="E2061" s="204"/>
      <c r="F2061" s="204"/>
      <c r="G2061" s="193"/>
      <c r="H2061" s="204"/>
      <c r="I2061" s="193"/>
      <c r="J2061" s="15">
        <v>15519000</v>
      </c>
      <c r="K2061" s="99">
        <v>51272000</v>
      </c>
      <c r="L2061" s="13"/>
      <c r="M2061" s="17"/>
      <c r="N2061" s="17"/>
      <c r="O2061" s="17"/>
      <c r="P2061" s="17"/>
      <c r="Q2061" s="17"/>
      <c r="R2061" s="17"/>
      <c r="S2061" s="17"/>
      <c r="T2061" s="17"/>
      <c r="U2061" s="17"/>
      <c r="V2061" s="17"/>
      <c r="W2061" s="17"/>
      <c r="X2061" s="17"/>
      <c r="Y2061" s="53">
        <f>AB2061</f>
        <v>96.855728272741459</v>
      </c>
      <c r="Z2061" s="53">
        <f>AD2061</f>
        <v>96.855728272741459</v>
      </c>
      <c r="AA2061" s="83">
        <v>49659869</v>
      </c>
      <c r="AB2061" s="19">
        <f>AA2061/K2061*100</f>
        <v>96.855728272741459</v>
      </c>
      <c r="AC2061" s="83">
        <f>AA2061</f>
        <v>49659869</v>
      </c>
      <c r="AD2061" s="19">
        <f>AC2061/K2061*100</f>
        <v>96.855728272741459</v>
      </c>
    </row>
    <row r="2062" spans="1:30">
      <c r="B2062" s="13">
        <f>B2061+1</f>
        <v>2</v>
      </c>
      <c r="C2062" s="17" t="s">
        <v>207</v>
      </c>
      <c r="D2062" s="39" t="s">
        <v>30</v>
      </c>
      <c r="E2062" s="204"/>
      <c r="F2062" s="204"/>
      <c r="G2062" s="193"/>
      <c r="H2062" s="204"/>
      <c r="I2062" s="193"/>
      <c r="J2062" s="15">
        <v>1500000</v>
      </c>
      <c r="K2062" s="99">
        <v>1500000</v>
      </c>
      <c r="L2062" s="13"/>
      <c r="M2062" s="17"/>
      <c r="N2062" s="17"/>
      <c r="O2062" s="17"/>
      <c r="P2062" s="17"/>
      <c r="Q2062" s="17"/>
      <c r="R2062" s="17"/>
      <c r="S2062" s="17"/>
      <c r="T2062" s="17"/>
      <c r="U2062" s="17"/>
      <c r="V2062" s="17"/>
      <c r="W2062" s="17"/>
      <c r="X2062" s="17"/>
      <c r="Y2062" s="53">
        <f>AB2062</f>
        <v>0</v>
      </c>
      <c r="Z2062" s="53">
        <f>AD2062</f>
        <v>0</v>
      </c>
      <c r="AA2062" s="83">
        <v>0</v>
      </c>
      <c r="AB2062" s="19">
        <f t="shared" ref="AB2062:AB2065" si="678">AA2062/K2062*100</f>
        <v>0</v>
      </c>
      <c r="AC2062" s="83">
        <f>AA2062</f>
        <v>0</v>
      </c>
      <c r="AD2062" s="19">
        <f t="shared" ref="AD2062:AD2065" si="679">AC2062/K2062*100</f>
        <v>0</v>
      </c>
    </row>
    <row r="2063" spans="1:30">
      <c r="A2063" s="72"/>
      <c r="B2063" s="13">
        <f>B2062+1</f>
        <v>3</v>
      </c>
      <c r="C2063" s="17" t="s">
        <v>208</v>
      </c>
      <c r="D2063" s="39" t="s">
        <v>32</v>
      </c>
      <c r="E2063" s="204"/>
      <c r="F2063" s="204"/>
      <c r="G2063" s="193"/>
      <c r="H2063" s="204"/>
      <c r="I2063" s="193"/>
      <c r="J2063" s="15">
        <v>33600000</v>
      </c>
      <c r="K2063" s="99">
        <v>33600000</v>
      </c>
      <c r="L2063" s="13"/>
      <c r="M2063" s="17"/>
      <c r="N2063" s="17"/>
      <c r="O2063" s="17"/>
      <c r="P2063" s="17"/>
      <c r="Q2063" s="17"/>
      <c r="R2063" s="17"/>
      <c r="S2063" s="17"/>
      <c r="T2063" s="17"/>
      <c r="U2063" s="17"/>
      <c r="V2063" s="17"/>
      <c r="W2063" s="17"/>
      <c r="X2063" s="17"/>
      <c r="Y2063" s="53">
        <f>AB2063</f>
        <v>98.242559523809518</v>
      </c>
      <c r="Z2063" s="53">
        <f>AD2063</f>
        <v>98.242559523809518</v>
      </c>
      <c r="AA2063" s="83">
        <v>33009500</v>
      </c>
      <c r="AB2063" s="19">
        <f t="shared" si="678"/>
        <v>98.242559523809518</v>
      </c>
      <c r="AC2063" s="83">
        <f>AA2063</f>
        <v>33009500</v>
      </c>
      <c r="AD2063" s="19">
        <f t="shared" si="679"/>
        <v>98.242559523809518</v>
      </c>
    </row>
    <row r="2064" spans="1:30">
      <c r="B2064" s="45">
        <f>B2063+1</f>
        <v>4</v>
      </c>
      <c r="C2064" s="44" t="s">
        <v>209</v>
      </c>
      <c r="D2064" s="78" t="s">
        <v>34</v>
      </c>
      <c r="E2064" s="489"/>
      <c r="F2064" s="489"/>
      <c r="G2064" s="240"/>
      <c r="H2064" s="489"/>
      <c r="I2064" s="240"/>
      <c r="J2064" s="15">
        <v>16520000</v>
      </c>
      <c r="K2064" s="99">
        <v>16542000</v>
      </c>
      <c r="L2064" s="45"/>
      <c r="M2064" s="44"/>
      <c r="N2064" s="44"/>
      <c r="O2064" s="44"/>
      <c r="P2064" s="44"/>
      <c r="Q2064" s="44"/>
      <c r="R2064" s="44"/>
      <c r="S2064" s="44"/>
      <c r="T2064" s="44"/>
      <c r="U2064" s="44"/>
      <c r="V2064" s="44"/>
      <c r="W2064" s="44"/>
      <c r="X2064" s="44"/>
      <c r="Y2064" s="55">
        <f>AB2064</f>
        <v>94.970378430661356</v>
      </c>
      <c r="Z2064" s="55">
        <f>AD2064</f>
        <v>94.970378430661356</v>
      </c>
      <c r="AA2064" s="375">
        <v>15710000</v>
      </c>
      <c r="AB2064" s="19">
        <f t="shared" si="678"/>
        <v>94.970378430661356</v>
      </c>
      <c r="AC2064" s="375">
        <f>AA2064</f>
        <v>15710000</v>
      </c>
      <c r="AD2064" s="19">
        <f t="shared" si="679"/>
        <v>94.970378430661356</v>
      </c>
    </row>
    <row r="2065" spans="2:30">
      <c r="B2065" s="45">
        <f>B2064+1</f>
        <v>5</v>
      </c>
      <c r="C2065" s="670" t="s">
        <v>2346</v>
      </c>
      <c r="D2065" s="17" t="s">
        <v>2347</v>
      </c>
      <c r="E2065" s="347"/>
      <c r="F2065" s="347"/>
      <c r="G2065" s="498"/>
      <c r="H2065" s="347"/>
      <c r="I2065" s="498"/>
      <c r="J2065" s="598"/>
      <c r="K2065" s="99">
        <v>106754000</v>
      </c>
      <c r="L2065" s="47"/>
      <c r="M2065" s="51"/>
      <c r="N2065" s="51"/>
      <c r="O2065" s="51"/>
      <c r="P2065" s="51"/>
      <c r="Q2065" s="51"/>
      <c r="R2065" s="51"/>
      <c r="S2065" s="51"/>
      <c r="T2065" s="51"/>
      <c r="U2065" s="51"/>
      <c r="V2065" s="51"/>
      <c r="W2065" s="51"/>
      <c r="X2065" s="51"/>
      <c r="Y2065" s="55">
        <f>AB2065</f>
        <v>97.470820765498246</v>
      </c>
      <c r="Z2065" s="55">
        <f>AD2065</f>
        <v>97.470820765498246</v>
      </c>
      <c r="AA2065" s="638">
        <v>104054000</v>
      </c>
      <c r="AB2065" s="19">
        <f t="shared" si="678"/>
        <v>97.470820765498246</v>
      </c>
      <c r="AC2065" s="638">
        <f>AA2065</f>
        <v>104054000</v>
      </c>
      <c r="AD2065" s="19">
        <f t="shared" si="679"/>
        <v>97.470820765498246</v>
      </c>
    </row>
    <row r="2066" spans="2:30">
      <c r="B2066" s="37">
        <v>154</v>
      </c>
      <c r="C2066" s="855" t="s">
        <v>1164</v>
      </c>
      <c r="D2066" s="855"/>
      <c r="E2066" s="483"/>
      <c r="F2066" s="483">
        <v>5</v>
      </c>
      <c r="G2066" s="468"/>
      <c r="H2066" s="483"/>
      <c r="I2066" s="468"/>
      <c r="J2066" s="35">
        <f>SUM(J2061:J2064)</f>
        <v>67139000</v>
      </c>
      <c r="K2066" s="35">
        <f>SUM(K2061:K2065)</f>
        <v>209668000</v>
      </c>
      <c r="L2066" s="37"/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  <c r="X2066" s="38"/>
      <c r="Y2066" s="84">
        <f>SUM(Y2061:Y2065)/5</f>
        <v>77.507897398542127</v>
      </c>
      <c r="Z2066" s="84">
        <f>SUM(Z2061:Z2065)/5</f>
        <v>77.507897398542127</v>
      </c>
      <c r="AA2066" s="68">
        <f>SUM(AA2061:AA2065)</f>
        <v>202433369</v>
      </c>
      <c r="AB2066" s="82">
        <f>SUM(AB2061:AB2065)/5</f>
        <v>77.507897398542127</v>
      </c>
      <c r="AC2066" s="68">
        <f>SUM(AC2061:AC2065)</f>
        <v>202433369</v>
      </c>
      <c r="AD2066" s="84">
        <f>SUM(AD2061:AD2065)/5</f>
        <v>77.507897398542127</v>
      </c>
    </row>
    <row r="2067" spans="2:30">
      <c r="B2067" s="62"/>
      <c r="C2067" s="63" t="s">
        <v>1031</v>
      </c>
      <c r="D2067" s="64" t="s">
        <v>1165</v>
      </c>
      <c r="E2067" s="484"/>
      <c r="F2067" s="484"/>
      <c r="G2067" s="472"/>
      <c r="H2067" s="484"/>
      <c r="I2067" s="472"/>
      <c r="J2067" s="65"/>
      <c r="K2067" s="65"/>
      <c r="L2067" s="66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  <c r="W2067" s="63"/>
      <c r="X2067" s="63"/>
      <c r="Y2067" s="63"/>
      <c r="Z2067" s="63"/>
      <c r="AA2067" s="63"/>
      <c r="AB2067" s="63"/>
      <c r="AC2067" s="63"/>
      <c r="AD2067" s="63"/>
    </row>
    <row r="2068" spans="2:30">
      <c r="B2068" s="13">
        <v>1</v>
      </c>
      <c r="C2068" s="17" t="s">
        <v>206</v>
      </c>
      <c r="D2068" s="39" t="s">
        <v>28</v>
      </c>
      <c r="E2068" s="204"/>
      <c r="F2068" s="204"/>
      <c r="G2068" s="193"/>
      <c r="H2068" s="204"/>
      <c r="I2068" s="193"/>
      <c r="J2068" s="15">
        <v>21462000</v>
      </c>
      <c r="K2068" s="746">
        <v>53253000</v>
      </c>
      <c r="L2068" s="13"/>
      <c r="M2068" s="17"/>
      <c r="N2068" s="17"/>
      <c r="O2068" s="17"/>
      <c r="P2068" s="17"/>
      <c r="Q2068" s="17"/>
      <c r="R2068" s="17"/>
      <c r="S2068" s="17"/>
      <c r="T2068" s="17"/>
      <c r="U2068" s="17"/>
      <c r="V2068" s="17"/>
      <c r="W2068" s="17"/>
      <c r="X2068" s="17"/>
      <c r="Y2068" s="53">
        <f>AB2068</f>
        <v>96.419319099393462</v>
      </c>
      <c r="Z2068" s="53">
        <f>AD2068</f>
        <v>96.419319099393462</v>
      </c>
      <c r="AA2068" s="22">
        <v>51346180</v>
      </c>
      <c r="AB2068" s="19">
        <f>AA2068/K2068*100</f>
        <v>96.419319099393462</v>
      </c>
      <c r="AC2068" s="22">
        <f>AA2068</f>
        <v>51346180</v>
      </c>
      <c r="AD2068" s="19">
        <f>AC2068/K2068*100</f>
        <v>96.419319099393462</v>
      </c>
    </row>
    <row r="2069" spans="2:30">
      <c r="B2069" s="13">
        <v>2</v>
      </c>
      <c r="C2069" s="17" t="s">
        <v>207</v>
      </c>
      <c r="D2069" s="39" t="s">
        <v>30</v>
      </c>
      <c r="E2069" s="204"/>
      <c r="F2069" s="204"/>
      <c r="G2069" s="193"/>
      <c r="H2069" s="204"/>
      <c r="I2069" s="193"/>
      <c r="J2069" s="15">
        <v>3885000</v>
      </c>
      <c r="K2069" s="99">
        <v>1635000</v>
      </c>
      <c r="L2069" s="13"/>
      <c r="M2069" s="17"/>
      <c r="N2069" s="17"/>
      <c r="O2069" s="17"/>
      <c r="P2069" s="17"/>
      <c r="Q2069" s="17"/>
      <c r="R2069" s="17"/>
      <c r="S2069" s="17"/>
      <c r="T2069" s="17"/>
      <c r="U2069" s="17"/>
      <c r="V2069" s="17"/>
      <c r="W2069" s="17"/>
      <c r="X2069" s="17"/>
      <c r="Y2069" s="53">
        <f t="shared" ref="Y2069:Y2071" si="680">AB2069</f>
        <v>100</v>
      </c>
      <c r="Z2069" s="53">
        <f t="shared" ref="Z2069:Z2071" si="681">AD2069</f>
        <v>100</v>
      </c>
      <c r="AA2069" s="22">
        <v>1635000</v>
      </c>
      <c r="AB2069" s="19">
        <f t="shared" ref="AB2069:AB2072" si="682">AA2069/K2069*100</f>
        <v>100</v>
      </c>
      <c r="AC2069" s="22">
        <f>AA2069</f>
        <v>1635000</v>
      </c>
      <c r="AD2069" s="19">
        <f t="shared" ref="AD2069:AD2072" si="683">AC2069/K2069*100</f>
        <v>100</v>
      </c>
    </row>
    <row r="2070" spans="2:30">
      <c r="B2070" s="13">
        <v>3</v>
      </c>
      <c r="C2070" s="17" t="s">
        <v>208</v>
      </c>
      <c r="D2070" s="39" t="s">
        <v>32</v>
      </c>
      <c r="E2070" s="204"/>
      <c r="F2070" s="204"/>
      <c r="G2070" s="193"/>
      <c r="H2070" s="204"/>
      <c r="I2070" s="193"/>
      <c r="J2070" s="15">
        <v>28555000</v>
      </c>
      <c r="K2070" s="99">
        <v>29940000</v>
      </c>
      <c r="L2070" s="13"/>
      <c r="M2070" s="17"/>
      <c r="N2070" s="17"/>
      <c r="O2070" s="17"/>
      <c r="P2070" s="17"/>
      <c r="Q2070" s="17"/>
      <c r="R2070" s="17"/>
      <c r="S2070" s="17"/>
      <c r="T2070" s="17"/>
      <c r="U2070" s="17"/>
      <c r="V2070" s="17"/>
      <c r="W2070" s="17"/>
      <c r="X2070" s="17"/>
      <c r="Y2070" s="53">
        <f t="shared" si="680"/>
        <v>98.7524081496326</v>
      </c>
      <c r="Z2070" s="53">
        <f t="shared" si="681"/>
        <v>98.7524081496326</v>
      </c>
      <c r="AA2070" s="22">
        <v>29566471</v>
      </c>
      <c r="AB2070" s="19">
        <f t="shared" si="682"/>
        <v>98.7524081496326</v>
      </c>
      <c r="AC2070" s="22">
        <f>AA2070</f>
        <v>29566471</v>
      </c>
      <c r="AD2070" s="19">
        <f t="shared" si="683"/>
        <v>98.7524081496326</v>
      </c>
    </row>
    <row r="2071" spans="2:30">
      <c r="B2071" s="45">
        <f>B2070+1</f>
        <v>4</v>
      </c>
      <c r="C2071" s="44" t="s">
        <v>209</v>
      </c>
      <c r="D2071" s="78" t="s">
        <v>34</v>
      </c>
      <c r="E2071" s="489"/>
      <c r="F2071" s="489"/>
      <c r="G2071" s="240"/>
      <c r="H2071" s="489"/>
      <c r="I2071" s="240"/>
      <c r="J2071" s="15">
        <v>13239000</v>
      </c>
      <c r="K2071" s="99">
        <v>13538000</v>
      </c>
      <c r="L2071" s="45"/>
      <c r="M2071" s="44"/>
      <c r="N2071" s="44"/>
      <c r="O2071" s="44"/>
      <c r="P2071" s="44"/>
      <c r="Q2071" s="44"/>
      <c r="R2071" s="44"/>
      <c r="S2071" s="44"/>
      <c r="T2071" s="44"/>
      <c r="U2071" s="44"/>
      <c r="V2071" s="44"/>
      <c r="W2071" s="44"/>
      <c r="X2071" s="44"/>
      <c r="Y2071" s="53">
        <f t="shared" si="680"/>
        <v>97.451617668784166</v>
      </c>
      <c r="Z2071" s="53">
        <f t="shared" si="681"/>
        <v>97.451617668784166</v>
      </c>
      <c r="AA2071" s="73">
        <v>13193000</v>
      </c>
      <c r="AB2071" s="19">
        <f t="shared" si="682"/>
        <v>97.451617668784166</v>
      </c>
      <c r="AC2071" s="73">
        <f>AA2071</f>
        <v>13193000</v>
      </c>
      <c r="AD2071" s="19">
        <f t="shared" si="683"/>
        <v>97.451617668784166</v>
      </c>
    </row>
    <row r="2072" spans="2:30">
      <c r="B2072" s="45">
        <f>B2071+1</f>
        <v>5</v>
      </c>
      <c r="C2072" s="44">
        <v>23.03</v>
      </c>
      <c r="D2072" s="18" t="s">
        <v>2347</v>
      </c>
      <c r="E2072" s="347"/>
      <c r="F2072" s="347"/>
      <c r="G2072" s="498"/>
      <c r="H2072" s="347"/>
      <c r="I2072" s="498"/>
      <c r="J2072" s="598"/>
      <c r="K2072" s="747">
        <v>114194000</v>
      </c>
      <c r="L2072" s="47"/>
      <c r="M2072" s="51"/>
      <c r="N2072" s="51"/>
      <c r="O2072" s="51"/>
      <c r="P2072" s="51"/>
      <c r="Q2072" s="51"/>
      <c r="R2072" s="51"/>
      <c r="S2072" s="51"/>
      <c r="T2072" s="51"/>
      <c r="U2072" s="51"/>
      <c r="V2072" s="51"/>
      <c r="W2072" s="51"/>
      <c r="X2072" s="51"/>
      <c r="Y2072" s="53">
        <f t="shared" ref="Y2072" si="684">AB2072</f>
        <v>98.729355307634378</v>
      </c>
      <c r="Z2072" s="53">
        <f t="shared" ref="Z2072" si="685">AD2072</f>
        <v>98.729355307634378</v>
      </c>
      <c r="AA2072" s="112">
        <v>112743000</v>
      </c>
      <c r="AB2072" s="19">
        <f t="shared" si="682"/>
        <v>98.729355307634378</v>
      </c>
      <c r="AC2072" s="112">
        <f>AA2072</f>
        <v>112743000</v>
      </c>
      <c r="AD2072" s="19">
        <f t="shared" si="683"/>
        <v>98.729355307634378</v>
      </c>
    </row>
    <row r="2073" spans="2:30">
      <c r="B2073" s="37">
        <v>155</v>
      </c>
      <c r="C2073" s="855" t="s">
        <v>1166</v>
      </c>
      <c r="D2073" s="855"/>
      <c r="E2073" s="483"/>
      <c r="F2073" s="483">
        <v>5</v>
      </c>
      <c r="G2073" s="468"/>
      <c r="H2073" s="483"/>
      <c r="I2073" s="468"/>
      <c r="J2073" s="35">
        <f>SUM(J2068:J2071)</f>
        <v>67141000</v>
      </c>
      <c r="K2073" s="35">
        <f>SUM(K2068:K2072)</f>
        <v>212560000</v>
      </c>
      <c r="L2073" s="37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38"/>
      <c r="Y2073" s="42">
        <f>SUM(Y2068:Y2072)/5</f>
        <v>98.270540045088907</v>
      </c>
      <c r="Z2073" s="42">
        <f>SUM(Z2068:Z2072)/5</f>
        <v>98.270540045088907</v>
      </c>
      <c r="AA2073" s="68">
        <f>SUM(AA2068:AA2072)</f>
        <v>208483651</v>
      </c>
      <c r="AB2073" s="42">
        <f>SUM(AB2068:AB2072)/5</f>
        <v>98.270540045088907</v>
      </c>
      <c r="AC2073" s="68">
        <f>SUM(AC2068:AC2072)</f>
        <v>208483651</v>
      </c>
      <c r="AD2073" s="42">
        <f>SUM(AD2068:AD2072)/5</f>
        <v>98.270540045088907</v>
      </c>
    </row>
    <row r="2074" spans="2:30">
      <c r="B2074" s="106"/>
      <c r="C2074" s="63" t="s">
        <v>1167</v>
      </c>
      <c r="D2074" s="64" t="s">
        <v>1168</v>
      </c>
      <c r="E2074" s="484"/>
      <c r="F2074" s="484"/>
      <c r="G2074" s="472"/>
      <c r="H2074" s="484"/>
      <c r="I2074" s="472"/>
      <c r="J2074" s="65"/>
      <c r="K2074" s="65"/>
      <c r="L2074" s="66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  <c r="W2074" s="63"/>
      <c r="X2074" s="63"/>
      <c r="Y2074" s="63"/>
      <c r="Z2074" s="63"/>
      <c r="AA2074" s="63"/>
      <c r="AB2074" s="63"/>
      <c r="AC2074" s="63"/>
      <c r="AD2074" s="63"/>
    </row>
    <row r="2075" spans="2:30">
      <c r="B2075" s="13">
        <v>1</v>
      </c>
      <c r="C2075" s="17" t="s">
        <v>206</v>
      </c>
      <c r="D2075" s="39" t="s">
        <v>28</v>
      </c>
      <c r="E2075" s="204"/>
      <c r="F2075" s="204"/>
      <c r="G2075" s="193"/>
      <c r="H2075" s="204"/>
      <c r="I2075" s="193"/>
      <c r="J2075" s="15">
        <v>33315000</v>
      </c>
      <c r="K2075" s="99">
        <v>68590000</v>
      </c>
      <c r="L2075" s="13"/>
      <c r="M2075" s="17"/>
      <c r="N2075" s="17"/>
      <c r="O2075" s="17"/>
      <c r="P2075" s="17"/>
      <c r="Q2075" s="17"/>
      <c r="R2075" s="17"/>
      <c r="S2075" s="17"/>
      <c r="T2075" s="17"/>
      <c r="U2075" s="17"/>
      <c r="V2075" s="17"/>
      <c r="W2075" s="17"/>
      <c r="X2075" s="17"/>
      <c r="Y2075" s="53">
        <f>AB2075</f>
        <v>96.076885843417401</v>
      </c>
      <c r="Z2075" s="53">
        <f>AD2075</f>
        <v>96.076885843417401</v>
      </c>
      <c r="AA2075" s="22">
        <v>65899136</v>
      </c>
      <c r="AB2075" s="19">
        <f>AA2075/K2075*100</f>
        <v>96.076885843417401</v>
      </c>
      <c r="AC2075" s="22">
        <f>AA2075</f>
        <v>65899136</v>
      </c>
      <c r="AD2075" s="19">
        <f>AC2075/K2075*100</f>
        <v>96.076885843417401</v>
      </c>
    </row>
    <row r="2076" spans="2:30">
      <c r="B2076" s="13">
        <v>2</v>
      </c>
      <c r="C2076" s="17" t="s">
        <v>207</v>
      </c>
      <c r="D2076" s="58" t="s">
        <v>30</v>
      </c>
      <c r="E2076" s="204"/>
      <c r="F2076" s="204"/>
      <c r="G2076" s="193"/>
      <c r="H2076" s="204"/>
      <c r="I2076" s="193"/>
      <c r="J2076" s="15"/>
      <c r="K2076" s="99">
        <v>1300000</v>
      </c>
      <c r="L2076" s="13"/>
      <c r="M2076" s="17"/>
      <c r="N2076" s="17"/>
      <c r="O2076" s="17"/>
      <c r="P2076" s="17"/>
      <c r="Q2076" s="17"/>
      <c r="R2076" s="17"/>
      <c r="S2076" s="17"/>
      <c r="T2076" s="17"/>
      <c r="U2076" s="17"/>
      <c r="V2076" s="17"/>
      <c r="W2076" s="17"/>
      <c r="X2076" s="17"/>
      <c r="Y2076" s="53">
        <f t="shared" ref="Y2076:Y2079" si="686">AB2076</f>
        <v>100</v>
      </c>
      <c r="Z2076" s="53">
        <f t="shared" ref="Z2076:Z2079" si="687">AD2076</f>
        <v>100</v>
      </c>
      <c r="AA2076" s="22">
        <v>1300000</v>
      </c>
      <c r="AB2076" s="19">
        <f t="shared" ref="AB2076:AB2079" si="688">AA2076/K2076*100</f>
        <v>100</v>
      </c>
      <c r="AC2076" s="22">
        <f t="shared" ref="AC2076:AC2079" si="689">AA2076</f>
        <v>1300000</v>
      </c>
      <c r="AD2076" s="19">
        <f t="shared" ref="AD2076:AD2079" si="690">AC2076/K2076*100</f>
        <v>100</v>
      </c>
    </row>
    <row r="2077" spans="2:30">
      <c r="B2077" s="13">
        <v>3</v>
      </c>
      <c r="C2077" s="17" t="s">
        <v>208</v>
      </c>
      <c r="D2077" s="39" t="s">
        <v>32</v>
      </c>
      <c r="E2077" s="204"/>
      <c r="F2077" s="204"/>
      <c r="G2077" s="193"/>
      <c r="H2077" s="204"/>
      <c r="I2077" s="193"/>
      <c r="J2077" s="15">
        <v>25292000</v>
      </c>
      <c r="K2077" s="99">
        <v>24192000</v>
      </c>
      <c r="L2077" s="13"/>
      <c r="M2077" s="17"/>
      <c r="N2077" s="17"/>
      <c r="O2077" s="17"/>
      <c r="P2077" s="17"/>
      <c r="Q2077" s="17"/>
      <c r="R2077" s="17"/>
      <c r="S2077" s="17"/>
      <c r="T2077" s="17"/>
      <c r="U2077" s="17"/>
      <c r="V2077" s="17"/>
      <c r="W2077" s="17"/>
      <c r="X2077" s="17"/>
      <c r="Y2077" s="53">
        <f t="shared" si="686"/>
        <v>99.811611276455025</v>
      </c>
      <c r="Z2077" s="53">
        <f t="shared" si="687"/>
        <v>99.811611276455025</v>
      </c>
      <c r="AA2077" s="22">
        <v>24146425</v>
      </c>
      <c r="AB2077" s="19">
        <f t="shared" si="688"/>
        <v>99.811611276455025</v>
      </c>
      <c r="AC2077" s="22">
        <f t="shared" si="689"/>
        <v>24146425</v>
      </c>
      <c r="AD2077" s="19">
        <f t="shared" si="690"/>
        <v>99.811611276455025</v>
      </c>
    </row>
    <row r="2078" spans="2:30">
      <c r="B2078" s="13">
        <v>4</v>
      </c>
      <c r="C2078" s="44" t="s">
        <v>209</v>
      </c>
      <c r="D2078" s="78" t="s">
        <v>34</v>
      </c>
      <c r="E2078" s="489"/>
      <c r="F2078" s="489"/>
      <c r="G2078" s="240"/>
      <c r="H2078" s="489"/>
      <c r="I2078" s="240"/>
      <c r="J2078" s="15">
        <v>13050000</v>
      </c>
      <c r="K2078" s="99">
        <v>12300000</v>
      </c>
      <c r="L2078" s="45"/>
      <c r="M2078" s="44"/>
      <c r="N2078" s="44"/>
      <c r="O2078" s="44"/>
      <c r="P2078" s="44"/>
      <c r="Q2078" s="44"/>
      <c r="R2078" s="44"/>
      <c r="S2078" s="44"/>
      <c r="T2078" s="44"/>
      <c r="U2078" s="44"/>
      <c r="V2078" s="44"/>
      <c r="W2078" s="44"/>
      <c r="X2078" s="44"/>
      <c r="Y2078" s="53">
        <f t="shared" si="686"/>
        <v>100</v>
      </c>
      <c r="Z2078" s="53">
        <f t="shared" si="687"/>
        <v>100</v>
      </c>
      <c r="AA2078" s="73">
        <f>5000000+850000+6450000</f>
        <v>12300000</v>
      </c>
      <c r="AB2078" s="19">
        <f t="shared" si="688"/>
        <v>100</v>
      </c>
      <c r="AC2078" s="22">
        <f t="shared" si="689"/>
        <v>12300000</v>
      </c>
      <c r="AD2078" s="19">
        <f t="shared" si="690"/>
        <v>100</v>
      </c>
    </row>
    <row r="2079" spans="2:30">
      <c r="B2079" s="47">
        <v>5</v>
      </c>
      <c r="C2079" s="670" t="s">
        <v>2346</v>
      </c>
      <c r="D2079" s="17" t="s">
        <v>2347</v>
      </c>
      <c r="E2079" s="347"/>
      <c r="F2079" s="347"/>
      <c r="G2079" s="498"/>
      <c r="H2079" s="347"/>
      <c r="I2079" s="498"/>
      <c r="J2079" s="598"/>
      <c r="K2079" s="99">
        <v>117674000</v>
      </c>
      <c r="L2079" s="47"/>
      <c r="M2079" s="51"/>
      <c r="N2079" s="51"/>
      <c r="O2079" s="51"/>
      <c r="P2079" s="51"/>
      <c r="Q2079" s="51"/>
      <c r="R2079" s="51"/>
      <c r="S2079" s="51"/>
      <c r="T2079" s="51"/>
      <c r="U2079" s="51"/>
      <c r="V2079" s="51"/>
      <c r="W2079" s="51"/>
      <c r="X2079" s="51"/>
      <c r="Y2079" s="53">
        <f t="shared" si="686"/>
        <v>99.997025681119027</v>
      </c>
      <c r="Z2079" s="53">
        <f t="shared" si="687"/>
        <v>99.997025681119027</v>
      </c>
      <c r="AA2079" s="112">
        <v>117670500</v>
      </c>
      <c r="AB2079" s="19">
        <f t="shared" si="688"/>
        <v>99.997025681119027</v>
      </c>
      <c r="AC2079" s="22">
        <f t="shared" si="689"/>
        <v>117670500</v>
      </c>
      <c r="AD2079" s="19">
        <f t="shared" si="690"/>
        <v>99.997025681119027</v>
      </c>
    </row>
    <row r="2080" spans="2:30">
      <c r="B2080" s="37">
        <v>156</v>
      </c>
      <c r="C2080" s="855" t="s">
        <v>1169</v>
      </c>
      <c r="D2080" s="855"/>
      <c r="E2080" s="483"/>
      <c r="F2080" s="483">
        <v>5</v>
      </c>
      <c r="G2080" s="468"/>
      <c r="H2080" s="483"/>
      <c r="I2080" s="468"/>
      <c r="J2080" s="35">
        <f>SUM(J2075:J2078)</f>
        <v>71657000</v>
      </c>
      <c r="K2080" s="35">
        <f>SUM(K2075:K2079)</f>
        <v>224056000</v>
      </c>
      <c r="L2080" s="295"/>
      <c r="M2080" s="28"/>
      <c r="N2080" s="28"/>
      <c r="O2080" s="28"/>
      <c r="P2080" s="28"/>
      <c r="Q2080" s="28"/>
      <c r="R2080" s="28"/>
      <c r="S2080" s="28"/>
      <c r="T2080" s="28"/>
      <c r="U2080" s="28"/>
      <c r="V2080" s="28"/>
      <c r="W2080" s="28"/>
      <c r="X2080" s="28"/>
      <c r="Y2080" s="42">
        <f>SUM(Y2075:Y2079)/5</f>
        <v>99.177104560198288</v>
      </c>
      <c r="Z2080" s="42">
        <f>SUM(Z2075:Z2079)/5</f>
        <v>99.177104560198288</v>
      </c>
      <c r="AA2080" s="67">
        <f>SUM(AA2075:AA2079)</f>
        <v>221316061</v>
      </c>
      <c r="AB2080" s="42">
        <f>SUM(AB2075:AB2079)/5</f>
        <v>99.177104560198288</v>
      </c>
      <c r="AC2080" s="67">
        <f>SUM(AC2075:AC2079)</f>
        <v>221316061</v>
      </c>
      <c r="AD2080" s="42">
        <f>SUM(AD2075:AD2079)/5</f>
        <v>99.177104560198288</v>
      </c>
    </row>
    <row r="2081" spans="2:30">
      <c r="B2081" s="66"/>
      <c r="C2081" s="63" t="s">
        <v>1170</v>
      </c>
      <c r="D2081" s="64" t="s">
        <v>1171</v>
      </c>
      <c r="E2081" s="484"/>
      <c r="F2081" s="484"/>
      <c r="G2081" s="472"/>
      <c r="H2081" s="484"/>
      <c r="I2081" s="472"/>
      <c r="J2081" s="65"/>
      <c r="K2081" s="65"/>
      <c r="L2081" s="66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  <c r="W2081" s="63"/>
      <c r="X2081" s="63"/>
      <c r="Y2081" s="63"/>
      <c r="Z2081" s="63"/>
      <c r="AA2081" s="63"/>
      <c r="AB2081" s="63"/>
      <c r="AC2081" s="63"/>
      <c r="AD2081" s="63"/>
    </row>
    <row r="2082" spans="2:30">
      <c r="B2082" s="66">
        <v>1</v>
      </c>
      <c r="C2082" s="247" t="s">
        <v>2348</v>
      </c>
      <c r="D2082" s="58" t="s">
        <v>2349</v>
      </c>
      <c r="E2082" s="484"/>
      <c r="F2082" s="484"/>
      <c r="G2082" s="472"/>
      <c r="H2082" s="484"/>
      <c r="I2082" s="472"/>
      <c r="J2082" s="65"/>
      <c r="K2082" s="99">
        <v>73000000</v>
      </c>
      <c r="L2082" s="66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  <c r="W2082" s="63"/>
      <c r="X2082" s="63"/>
      <c r="Y2082" s="63">
        <f t="shared" ref="Y2082:Y2087" si="691">AB2082</f>
        <v>95.61643835616438</v>
      </c>
      <c r="Z2082" s="134">
        <f t="shared" ref="Z2082:Z2087" si="692">AD2082</f>
        <v>95.61643835616438</v>
      </c>
      <c r="AA2082" s="63">
        <v>69800000</v>
      </c>
      <c r="AB2082" s="19">
        <f>AA2082/K2082*100</f>
        <v>95.61643835616438</v>
      </c>
      <c r="AC2082" s="63">
        <f>AA2082</f>
        <v>69800000</v>
      </c>
      <c r="AD2082" s="19">
        <f>AC2082/K2082*100</f>
        <v>95.61643835616438</v>
      </c>
    </row>
    <row r="2083" spans="2:30">
      <c r="B2083" s="48">
        <v>2</v>
      </c>
      <c r="C2083" s="17" t="s">
        <v>206</v>
      </c>
      <c r="D2083" s="39" t="s">
        <v>28</v>
      </c>
      <c r="E2083" s="204"/>
      <c r="F2083" s="204"/>
      <c r="G2083" s="193"/>
      <c r="H2083" s="204"/>
      <c r="I2083" s="193"/>
      <c r="J2083" s="15">
        <v>22926000</v>
      </c>
      <c r="K2083" s="99">
        <v>52679000</v>
      </c>
      <c r="L2083" s="13"/>
      <c r="M2083" s="17"/>
      <c r="N2083" s="17"/>
      <c r="O2083" s="17"/>
      <c r="P2083" s="17"/>
      <c r="Q2083" s="17"/>
      <c r="R2083" s="17"/>
      <c r="S2083" s="17"/>
      <c r="T2083" s="17"/>
      <c r="U2083" s="17"/>
      <c r="V2083" s="17"/>
      <c r="W2083" s="17"/>
      <c r="X2083" s="17"/>
      <c r="Y2083" s="53">
        <f t="shared" si="691"/>
        <v>98.547136430076492</v>
      </c>
      <c r="Z2083" s="53">
        <f t="shared" si="692"/>
        <v>98.547136430076492</v>
      </c>
      <c r="AA2083" s="53">
        <v>51913646</v>
      </c>
      <c r="AB2083" s="19">
        <f>AA2083/K2083*100</f>
        <v>98.547136430076492</v>
      </c>
      <c r="AC2083" s="53">
        <f>AA2083</f>
        <v>51913646</v>
      </c>
      <c r="AD2083" s="19">
        <f>AC2083/K2083*100</f>
        <v>98.547136430076492</v>
      </c>
    </row>
    <row r="2084" spans="2:30">
      <c r="B2084" s="66">
        <v>3</v>
      </c>
      <c r="C2084" s="17" t="s">
        <v>207</v>
      </c>
      <c r="D2084" s="39" t="s">
        <v>30</v>
      </c>
      <c r="E2084" s="204"/>
      <c r="F2084" s="204"/>
      <c r="G2084" s="193"/>
      <c r="H2084" s="204"/>
      <c r="I2084" s="193"/>
      <c r="J2084" s="15">
        <v>700000</v>
      </c>
      <c r="K2084" s="99">
        <v>700000</v>
      </c>
      <c r="L2084" s="13"/>
      <c r="M2084" s="17"/>
      <c r="N2084" s="17"/>
      <c r="O2084" s="17"/>
      <c r="P2084" s="17"/>
      <c r="Q2084" s="17"/>
      <c r="R2084" s="17"/>
      <c r="S2084" s="17"/>
      <c r="T2084" s="17"/>
      <c r="U2084" s="17"/>
      <c r="V2084" s="17"/>
      <c r="W2084" s="17"/>
      <c r="X2084" s="17"/>
      <c r="Y2084" s="53">
        <f t="shared" si="691"/>
        <v>100</v>
      </c>
      <c r="Z2084" s="53">
        <f t="shared" si="692"/>
        <v>100</v>
      </c>
      <c r="AA2084" s="53">
        <v>700000</v>
      </c>
      <c r="AB2084" s="19">
        <f t="shared" ref="AB2084:AB2087" si="693">AA2084/K2084*100</f>
        <v>100</v>
      </c>
      <c r="AC2084" s="53">
        <f>AA2084</f>
        <v>700000</v>
      </c>
      <c r="AD2084" s="19">
        <f t="shared" ref="AD2084:AD2087" si="694">AC2084/K2084*100</f>
        <v>100</v>
      </c>
    </row>
    <row r="2085" spans="2:30">
      <c r="B2085" s="48">
        <v>4</v>
      </c>
      <c r="C2085" s="17" t="s">
        <v>208</v>
      </c>
      <c r="D2085" s="39" t="s">
        <v>32</v>
      </c>
      <c r="E2085" s="204"/>
      <c r="F2085" s="204"/>
      <c r="G2085" s="193"/>
      <c r="H2085" s="204"/>
      <c r="I2085" s="193"/>
      <c r="J2085" s="15">
        <v>26556000</v>
      </c>
      <c r="K2085" s="99">
        <v>26556000</v>
      </c>
      <c r="L2085" s="13"/>
      <c r="M2085" s="17"/>
      <c r="N2085" s="17"/>
      <c r="O2085" s="17"/>
      <c r="P2085" s="17"/>
      <c r="Q2085" s="17"/>
      <c r="R2085" s="17"/>
      <c r="S2085" s="17"/>
      <c r="T2085" s="17"/>
      <c r="U2085" s="17"/>
      <c r="V2085" s="17"/>
      <c r="W2085" s="17"/>
      <c r="X2085" s="17"/>
      <c r="Y2085" s="53">
        <f t="shared" si="691"/>
        <v>98.117186323241455</v>
      </c>
      <c r="Z2085" s="53">
        <f t="shared" si="692"/>
        <v>98.117186323241455</v>
      </c>
      <c r="AA2085" s="53">
        <v>26056000</v>
      </c>
      <c r="AB2085" s="19">
        <f t="shared" si="693"/>
        <v>98.117186323241455</v>
      </c>
      <c r="AC2085" s="53">
        <f>AA2085</f>
        <v>26056000</v>
      </c>
      <c r="AD2085" s="19">
        <f t="shared" si="694"/>
        <v>98.117186323241455</v>
      </c>
    </row>
    <row r="2086" spans="2:30">
      <c r="B2086" s="66">
        <v>5</v>
      </c>
      <c r="C2086" s="44" t="s">
        <v>209</v>
      </c>
      <c r="D2086" s="78" t="s">
        <v>34</v>
      </c>
      <c r="E2086" s="489"/>
      <c r="F2086" s="489"/>
      <c r="G2086" s="240"/>
      <c r="H2086" s="489"/>
      <c r="I2086" s="240"/>
      <c r="J2086" s="15">
        <v>16500000</v>
      </c>
      <c r="K2086" s="99">
        <v>16500000</v>
      </c>
      <c r="L2086" s="45"/>
      <c r="M2086" s="44"/>
      <c r="N2086" s="44"/>
      <c r="O2086" s="44"/>
      <c r="P2086" s="44"/>
      <c r="Q2086" s="44"/>
      <c r="R2086" s="44"/>
      <c r="S2086" s="44"/>
      <c r="T2086" s="44"/>
      <c r="U2086" s="44"/>
      <c r="V2086" s="44"/>
      <c r="W2086" s="44"/>
      <c r="X2086" s="44"/>
      <c r="Y2086" s="55">
        <f t="shared" si="691"/>
        <v>100</v>
      </c>
      <c r="Z2086" s="55">
        <f t="shared" si="692"/>
        <v>91.515151515151516</v>
      </c>
      <c r="AA2086" s="55">
        <v>16500000</v>
      </c>
      <c r="AB2086" s="19">
        <f t="shared" si="693"/>
        <v>100</v>
      </c>
      <c r="AC2086" s="55">
        <f>6500000+8600000</f>
        <v>15100000</v>
      </c>
      <c r="AD2086" s="19">
        <f t="shared" si="694"/>
        <v>91.515151515151516</v>
      </c>
    </row>
    <row r="2087" spans="2:30">
      <c r="B2087" s="47">
        <v>6</v>
      </c>
      <c r="C2087" s="670" t="s">
        <v>2346</v>
      </c>
      <c r="D2087" s="17" t="s">
        <v>2347</v>
      </c>
      <c r="E2087" s="347"/>
      <c r="F2087" s="347"/>
      <c r="G2087" s="498"/>
      <c r="H2087" s="347"/>
      <c r="I2087" s="498"/>
      <c r="J2087" s="598"/>
      <c r="K2087" s="99">
        <v>115314000</v>
      </c>
      <c r="L2087" s="47"/>
      <c r="M2087" s="51"/>
      <c r="N2087" s="51"/>
      <c r="O2087" s="51"/>
      <c r="P2087" s="51"/>
      <c r="Q2087" s="51"/>
      <c r="R2087" s="51"/>
      <c r="S2087" s="51"/>
      <c r="T2087" s="51"/>
      <c r="U2087" s="51"/>
      <c r="V2087" s="51"/>
      <c r="W2087" s="51"/>
      <c r="X2087" s="51"/>
      <c r="Y2087" s="55">
        <f t="shared" si="691"/>
        <v>100</v>
      </c>
      <c r="Z2087" s="55">
        <f t="shared" si="692"/>
        <v>100</v>
      </c>
      <c r="AA2087" s="111">
        <v>115314000</v>
      </c>
      <c r="AB2087" s="19">
        <f t="shared" si="693"/>
        <v>100</v>
      </c>
      <c r="AC2087" s="55">
        <f>AA2087</f>
        <v>115314000</v>
      </c>
      <c r="AD2087" s="19">
        <f t="shared" si="694"/>
        <v>100</v>
      </c>
    </row>
    <row r="2088" spans="2:30">
      <c r="B2088" s="37">
        <v>157</v>
      </c>
      <c r="C2088" s="855" t="s">
        <v>1172</v>
      </c>
      <c r="D2088" s="855"/>
      <c r="E2088" s="483"/>
      <c r="F2088" s="483">
        <v>6</v>
      </c>
      <c r="G2088" s="468"/>
      <c r="H2088" s="483"/>
      <c r="I2088" s="468"/>
      <c r="J2088" s="35">
        <f>SUM(J2083:J2086)</f>
        <v>66682000</v>
      </c>
      <c r="K2088" s="35">
        <f>SUM(K2082:K2087)</f>
        <v>284749000</v>
      </c>
      <c r="L2088" s="37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38"/>
      <c r="Y2088" s="42">
        <f>SUM(Y2083:Y2086)/4</f>
        <v>99.166080688329487</v>
      </c>
      <c r="Z2088" s="42">
        <f>SUM(Z2083:Z2086)/4</f>
        <v>97.044868567117362</v>
      </c>
      <c r="AA2088" s="42">
        <f>SUM(AA2083:AA2086)</f>
        <v>95169646</v>
      </c>
      <c r="AB2088" s="42">
        <f>SUM(AB2083:AB2086)/4</f>
        <v>99.166080688329487</v>
      </c>
      <c r="AC2088" s="42">
        <f>SUM(AC2083:AC2086)</f>
        <v>93769646</v>
      </c>
      <c r="AD2088" s="42">
        <f>SUM(AD2083:AD2086)/4</f>
        <v>97.044868567117362</v>
      </c>
    </row>
    <row r="2089" spans="2:30">
      <c r="B2089" s="66"/>
      <c r="C2089" s="63" t="s">
        <v>1173</v>
      </c>
      <c r="D2089" s="64" t="s">
        <v>1174</v>
      </c>
      <c r="E2089" s="484"/>
      <c r="F2089" s="484"/>
      <c r="G2089" s="472"/>
      <c r="H2089" s="484"/>
      <c r="I2089" s="472"/>
      <c r="J2089" s="65"/>
      <c r="K2089" s="65"/>
      <c r="L2089" s="66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  <c r="W2089" s="63"/>
      <c r="X2089" s="63"/>
      <c r="Y2089" s="63"/>
      <c r="Z2089" s="63"/>
      <c r="AA2089" s="63"/>
      <c r="AB2089" s="63"/>
      <c r="AC2089" s="63"/>
      <c r="AD2089" s="63"/>
    </row>
    <row r="2090" spans="2:30" ht="17.25" customHeight="1">
      <c r="B2090" s="48">
        <v>1</v>
      </c>
      <c r="C2090" s="17" t="s">
        <v>206</v>
      </c>
      <c r="D2090" s="39" t="s">
        <v>28</v>
      </c>
      <c r="E2090" s="204"/>
      <c r="F2090" s="204"/>
      <c r="G2090" s="193"/>
      <c r="H2090" s="204"/>
      <c r="I2090" s="193"/>
      <c r="J2090" s="15">
        <v>16264000</v>
      </c>
      <c r="K2090" s="99">
        <v>47414000</v>
      </c>
      <c r="L2090" s="13"/>
      <c r="M2090" s="17"/>
      <c r="N2090" s="17"/>
      <c r="O2090" s="17"/>
      <c r="P2090" s="17"/>
      <c r="Q2090" s="17"/>
      <c r="R2090" s="17"/>
      <c r="S2090" s="17"/>
      <c r="T2090" s="17"/>
      <c r="U2090" s="17"/>
      <c r="V2090" s="17"/>
      <c r="W2090" s="17"/>
      <c r="X2090" s="17"/>
      <c r="Y2090" s="53">
        <f>AB2090</f>
        <v>94.997747500738186</v>
      </c>
      <c r="Z2090" s="53">
        <f>AD2090</f>
        <v>94.997747500738186</v>
      </c>
      <c r="AA2090" s="22">
        <v>45042232</v>
      </c>
      <c r="AB2090" s="19">
        <f>AA2090/K2090*100</f>
        <v>94.997747500738186</v>
      </c>
      <c r="AC2090" s="53">
        <f>AA2090</f>
        <v>45042232</v>
      </c>
      <c r="AD2090" s="19">
        <f>AC2090/K2090*100</f>
        <v>94.997747500738186</v>
      </c>
    </row>
    <row r="2091" spans="2:30" ht="20.25" customHeight="1">
      <c r="B2091" s="13">
        <v>2</v>
      </c>
      <c r="C2091" s="17" t="s">
        <v>208</v>
      </c>
      <c r="D2091" s="39" t="s">
        <v>32</v>
      </c>
      <c r="E2091" s="204"/>
      <c r="F2091" s="204"/>
      <c r="G2091" s="193"/>
      <c r="H2091" s="204"/>
      <c r="I2091" s="193"/>
      <c r="J2091" s="15">
        <v>31459000</v>
      </c>
      <c r="K2091" s="99">
        <v>31459000</v>
      </c>
      <c r="L2091" s="13"/>
      <c r="M2091" s="17"/>
      <c r="N2091" s="17"/>
      <c r="O2091" s="17"/>
      <c r="P2091" s="17"/>
      <c r="Q2091" s="17"/>
      <c r="R2091" s="17"/>
      <c r="S2091" s="17"/>
      <c r="T2091" s="17"/>
      <c r="U2091" s="17"/>
      <c r="V2091" s="17"/>
      <c r="W2091" s="17"/>
      <c r="X2091" s="17"/>
      <c r="Y2091" s="53">
        <f t="shared" ref="Y2091:Y2092" si="695">AB2091</f>
        <v>99.558155058965639</v>
      </c>
      <c r="Z2091" s="53">
        <f t="shared" ref="Z2091:Z2092" si="696">AD2091</f>
        <v>99.558155058965639</v>
      </c>
      <c r="AA2091" s="22">
        <v>31320000</v>
      </c>
      <c r="AB2091" s="19">
        <f t="shared" ref="AB2091:AB2093" si="697">AA2091/K2091*100</f>
        <v>99.558155058965639</v>
      </c>
      <c r="AC2091" s="53">
        <f>AA2091</f>
        <v>31320000</v>
      </c>
      <c r="AD2091" s="19">
        <f t="shared" ref="AD2091:AD2093" si="698">AC2091/K2091*100</f>
        <v>99.558155058965639</v>
      </c>
    </row>
    <row r="2092" spans="2:30">
      <c r="B2092" s="45">
        <v>3</v>
      </c>
      <c r="C2092" s="44" t="s">
        <v>209</v>
      </c>
      <c r="D2092" s="78" t="s">
        <v>34</v>
      </c>
      <c r="E2092" s="489"/>
      <c r="F2092" s="489"/>
      <c r="G2092" s="240"/>
      <c r="H2092" s="489"/>
      <c r="I2092" s="240"/>
      <c r="J2092" s="15">
        <v>19530000</v>
      </c>
      <c r="K2092" s="99">
        <v>19530000</v>
      </c>
      <c r="L2092" s="45"/>
      <c r="M2092" s="44"/>
      <c r="N2092" s="44"/>
      <c r="O2092" s="44"/>
      <c r="P2092" s="44"/>
      <c r="Q2092" s="44"/>
      <c r="R2092" s="44"/>
      <c r="S2092" s="44"/>
      <c r="T2092" s="44"/>
      <c r="U2092" s="44"/>
      <c r="V2092" s="44"/>
      <c r="W2092" s="44"/>
      <c r="X2092" s="44"/>
      <c r="Y2092" s="53">
        <f t="shared" si="695"/>
        <v>100</v>
      </c>
      <c r="Z2092" s="53">
        <f t="shared" si="696"/>
        <v>100</v>
      </c>
      <c r="AA2092" s="73">
        <v>19530000</v>
      </c>
      <c r="AB2092" s="19">
        <f t="shared" si="697"/>
        <v>100</v>
      </c>
      <c r="AC2092" s="55">
        <f>AA2092</f>
        <v>19530000</v>
      </c>
      <c r="AD2092" s="19">
        <f t="shared" si="698"/>
        <v>100</v>
      </c>
    </row>
    <row r="2093" spans="2:30" ht="18.75" customHeight="1">
      <c r="B2093" s="47">
        <v>4</v>
      </c>
      <c r="C2093" s="670" t="s">
        <v>2346</v>
      </c>
      <c r="D2093" s="17" t="s">
        <v>2347</v>
      </c>
      <c r="E2093" s="347"/>
      <c r="F2093" s="347"/>
      <c r="G2093" s="498"/>
      <c r="H2093" s="347"/>
      <c r="I2093" s="498"/>
      <c r="J2093" s="598"/>
      <c r="K2093" s="99">
        <v>116194000</v>
      </c>
      <c r="L2093" s="47"/>
      <c r="M2093" s="51"/>
      <c r="N2093" s="51"/>
      <c r="O2093" s="51"/>
      <c r="P2093" s="51"/>
      <c r="Q2093" s="51"/>
      <c r="R2093" s="51"/>
      <c r="S2093" s="51"/>
      <c r="T2093" s="51"/>
      <c r="U2093" s="51"/>
      <c r="V2093" s="51"/>
      <c r="W2093" s="51"/>
      <c r="X2093" s="51"/>
      <c r="Y2093" s="53">
        <f t="shared" ref="Y2093" si="699">AB2093</f>
        <v>99.996557481453436</v>
      </c>
      <c r="Z2093" s="53">
        <f>AD2093</f>
        <v>99.996557481453436</v>
      </c>
      <c r="AA2093" s="112">
        <v>116190000</v>
      </c>
      <c r="AB2093" s="19">
        <f t="shared" si="697"/>
        <v>99.996557481453436</v>
      </c>
      <c r="AC2093" s="55">
        <f>AA2093</f>
        <v>116190000</v>
      </c>
      <c r="AD2093" s="19">
        <f t="shared" si="698"/>
        <v>99.996557481453436</v>
      </c>
    </row>
    <row r="2094" spans="2:30">
      <c r="B2094" s="37">
        <v>158</v>
      </c>
      <c r="C2094" s="855" t="s">
        <v>1175</v>
      </c>
      <c r="D2094" s="855"/>
      <c r="E2094" s="483"/>
      <c r="F2094" s="483">
        <v>4</v>
      </c>
      <c r="G2094" s="468"/>
      <c r="H2094" s="483"/>
      <c r="I2094" s="468"/>
      <c r="J2094" s="35">
        <f>SUM(J2090:J2092)</f>
        <v>67253000</v>
      </c>
      <c r="K2094" s="35">
        <f>SUM(K2090:K2093)</f>
        <v>214597000</v>
      </c>
      <c r="L2094" s="37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38"/>
      <c r="Y2094" s="42">
        <f>SUM(Y2090:Y2093)/4</f>
        <v>98.638115010289312</v>
      </c>
      <c r="Z2094" s="42">
        <f>SUM(Z2090:Z2093)/4</f>
        <v>98.638115010289312</v>
      </c>
      <c r="AA2094" s="67">
        <f>SUM(AA2090:AA2093)</f>
        <v>212082232</v>
      </c>
      <c r="AB2094" s="42">
        <f>SUM(AB2090:AB2093)/4</f>
        <v>98.638115010289312</v>
      </c>
      <c r="AC2094" s="67">
        <f>SUM(AC2090:AC2093)</f>
        <v>212082232</v>
      </c>
      <c r="AD2094" s="42">
        <f>SUM(AD2090:AD2093)/4</f>
        <v>98.638115010289312</v>
      </c>
    </row>
    <row r="2095" spans="2:30">
      <c r="B2095" s="66"/>
      <c r="C2095" s="63" t="s">
        <v>1176</v>
      </c>
      <c r="D2095" s="64" t="s">
        <v>1177</v>
      </c>
      <c r="E2095" s="484"/>
      <c r="F2095" s="484"/>
      <c r="G2095" s="472"/>
      <c r="H2095" s="484"/>
      <c r="I2095" s="472"/>
      <c r="J2095" s="65"/>
      <c r="K2095" s="65"/>
      <c r="L2095" s="66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  <c r="W2095" s="63"/>
      <c r="X2095" s="63"/>
      <c r="Y2095" s="63"/>
      <c r="Z2095" s="63"/>
      <c r="AA2095" s="63"/>
      <c r="AB2095" s="63"/>
      <c r="AC2095" s="63"/>
      <c r="AD2095" s="63"/>
    </row>
    <row r="2096" spans="2:30">
      <c r="B2096" s="157">
        <v>1</v>
      </c>
      <c r="C2096" s="17" t="s">
        <v>206</v>
      </c>
      <c r="D2096" s="39" t="s">
        <v>28</v>
      </c>
      <c r="E2096" s="204"/>
      <c r="F2096" s="204"/>
      <c r="G2096" s="193"/>
      <c r="H2096" s="204"/>
      <c r="I2096" s="193"/>
      <c r="J2096" s="15">
        <v>29807000</v>
      </c>
      <c r="K2096" s="99">
        <v>72682000</v>
      </c>
      <c r="L2096" s="13"/>
      <c r="M2096" s="17"/>
      <c r="N2096" s="17"/>
      <c r="O2096" s="17"/>
      <c r="P2096" s="17"/>
      <c r="Q2096" s="17"/>
      <c r="R2096" s="17"/>
      <c r="S2096" s="17"/>
      <c r="T2096" s="17"/>
      <c r="U2096" s="17"/>
      <c r="V2096" s="17"/>
      <c r="W2096" s="17"/>
      <c r="X2096" s="17"/>
      <c r="Y2096" s="53">
        <f>AB2096</f>
        <v>87.640073195564241</v>
      </c>
      <c r="Z2096" s="53">
        <f>AD2096</f>
        <v>87.640073195564241</v>
      </c>
      <c r="AA2096" s="22">
        <v>63698558</v>
      </c>
      <c r="AB2096" s="19">
        <f>AA2096/K2096*100</f>
        <v>87.640073195564241</v>
      </c>
      <c r="AC2096" s="22">
        <f>AA2096</f>
        <v>63698558</v>
      </c>
      <c r="AD2096" s="19">
        <f>AC2096/K2096*100</f>
        <v>87.640073195564241</v>
      </c>
    </row>
    <row r="2097" spans="2:30">
      <c r="B2097" s="13">
        <v>2</v>
      </c>
      <c r="C2097" s="17" t="s">
        <v>207</v>
      </c>
      <c r="D2097" s="39" t="s">
        <v>30</v>
      </c>
      <c r="E2097" s="204"/>
      <c r="F2097" s="204"/>
      <c r="G2097" s="193"/>
      <c r="H2097" s="204"/>
      <c r="I2097" s="193"/>
      <c r="J2097" s="15">
        <v>1640000</v>
      </c>
      <c r="K2097" s="99">
        <v>0</v>
      </c>
      <c r="L2097" s="13"/>
      <c r="M2097" s="17"/>
      <c r="N2097" s="17"/>
      <c r="O2097" s="17"/>
      <c r="P2097" s="17"/>
      <c r="Q2097" s="17"/>
      <c r="R2097" s="17"/>
      <c r="S2097" s="17"/>
      <c r="T2097" s="17"/>
      <c r="U2097" s="17"/>
      <c r="V2097" s="17"/>
      <c r="W2097" s="17"/>
      <c r="X2097" s="17"/>
      <c r="Y2097" s="53">
        <v>0</v>
      </c>
      <c r="Z2097" s="53">
        <v>0</v>
      </c>
      <c r="AA2097" s="53">
        <v>0</v>
      </c>
      <c r="AB2097" s="19"/>
      <c r="AC2097" s="53">
        <f>AA2097</f>
        <v>0</v>
      </c>
      <c r="AD2097" s="19"/>
    </row>
    <row r="2098" spans="2:30">
      <c r="B2098" s="13">
        <v>3</v>
      </c>
      <c r="C2098" s="17" t="s">
        <v>208</v>
      </c>
      <c r="D2098" s="39" t="s">
        <v>32</v>
      </c>
      <c r="E2098" s="204"/>
      <c r="F2098" s="204"/>
      <c r="G2098" s="193"/>
      <c r="H2098" s="204"/>
      <c r="I2098" s="193"/>
      <c r="J2098" s="15">
        <v>25341000</v>
      </c>
      <c r="K2098" s="99">
        <v>25341000</v>
      </c>
      <c r="L2098" s="13"/>
      <c r="M2098" s="17"/>
      <c r="N2098" s="17"/>
      <c r="O2098" s="17"/>
      <c r="P2098" s="17"/>
      <c r="Q2098" s="17"/>
      <c r="R2098" s="17"/>
      <c r="S2098" s="17"/>
      <c r="T2098" s="17"/>
      <c r="U2098" s="17"/>
      <c r="V2098" s="17"/>
      <c r="W2098" s="17"/>
      <c r="X2098" s="17"/>
      <c r="Y2098" s="53">
        <f>AB2098</f>
        <v>94.161832603291103</v>
      </c>
      <c r="Z2098" s="53">
        <f>AD2098</f>
        <v>94.161832603291103</v>
      </c>
      <c r="AA2098" s="22">
        <v>23861550</v>
      </c>
      <c r="AB2098" s="19">
        <f t="shared" ref="AB2098:AB2100" si="700">AA2098/K2098*100</f>
        <v>94.161832603291103</v>
      </c>
      <c r="AC2098" s="22">
        <f>AA2098</f>
        <v>23861550</v>
      </c>
      <c r="AD2098" s="19">
        <f t="shared" ref="AD2098:AD2100" si="701">AC2098/K2098*100</f>
        <v>94.161832603291103</v>
      </c>
    </row>
    <row r="2099" spans="2:30">
      <c r="B2099" s="45">
        <v>4</v>
      </c>
      <c r="C2099" s="44" t="s">
        <v>209</v>
      </c>
      <c r="D2099" s="78" t="s">
        <v>34</v>
      </c>
      <c r="E2099" s="489"/>
      <c r="F2099" s="489"/>
      <c r="G2099" s="240"/>
      <c r="H2099" s="489"/>
      <c r="I2099" s="240"/>
      <c r="J2099" s="15">
        <v>18315000</v>
      </c>
      <c r="K2099" s="99">
        <v>17815000</v>
      </c>
      <c r="L2099" s="45"/>
      <c r="M2099" s="44"/>
      <c r="N2099" s="44"/>
      <c r="O2099" s="44"/>
      <c r="P2099" s="44"/>
      <c r="Q2099" s="44"/>
      <c r="R2099" s="44"/>
      <c r="S2099" s="44"/>
      <c r="T2099" s="44"/>
      <c r="U2099" s="44"/>
      <c r="V2099" s="44"/>
      <c r="W2099" s="44"/>
      <c r="X2099" s="44"/>
      <c r="Y2099" s="55">
        <f>AB2099</f>
        <v>100</v>
      </c>
      <c r="Z2099" s="55">
        <f>AD2099</f>
        <v>100</v>
      </c>
      <c r="AA2099" s="73">
        <v>17815000</v>
      </c>
      <c r="AB2099" s="19">
        <f t="shared" si="700"/>
        <v>100</v>
      </c>
      <c r="AC2099" s="73">
        <f>AA2099</f>
        <v>17815000</v>
      </c>
      <c r="AD2099" s="19">
        <f t="shared" si="701"/>
        <v>100</v>
      </c>
    </row>
    <row r="2100" spans="2:30" ht="16.5">
      <c r="B2100" s="47">
        <v>5</v>
      </c>
      <c r="C2100" s="670" t="s">
        <v>2350</v>
      </c>
      <c r="D2100" s="743" t="s">
        <v>2347</v>
      </c>
      <c r="E2100" s="347"/>
      <c r="F2100" s="347"/>
      <c r="G2100" s="498"/>
      <c r="H2100" s="347"/>
      <c r="I2100" s="498"/>
      <c r="J2100" s="598"/>
      <c r="K2100" s="99">
        <v>113714000</v>
      </c>
      <c r="L2100" s="47"/>
      <c r="M2100" s="51"/>
      <c r="N2100" s="51"/>
      <c r="O2100" s="51"/>
      <c r="P2100" s="51"/>
      <c r="Q2100" s="51"/>
      <c r="R2100" s="51"/>
      <c r="S2100" s="51"/>
      <c r="T2100" s="51"/>
      <c r="U2100" s="51"/>
      <c r="V2100" s="51"/>
      <c r="W2100" s="51"/>
      <c r="X2100" s="51"/>
      <c r="Y2100" s="55">
        <f>AB2100</f>
        <v>99.849622737745563</v>
      </c>
      <c r="Z2100" s="55">
        <f>AD2100</f>
        <v>99.849622737745563</v>
      </c>
      <c r="AA2100" s="112">
        <v>113543000</v>
      </c>
      <c r="AB2100" s="19">
        <f t="shared" si="700"/>
        <v>99.849622737745563</v>
      </c>
      <c r="AC2100" s="112">
        <f>AA2100</f>
        <v>113543000</v>
      </c>
      <c r="AD2100" s="19">
        <f t="shared" si="701"/>
        <v>99.849622737745563</v>
      </c>
    </row>
    <row r="2101" spans="2:30">
      <c r="B2101" s="37">
        <v>159</v>
      </c>
      <c r="C2101" s="855" t="s">
        <v>1178</v>
      </c>
      <c r="D2101" s="855"/>
      <c r="E2101" s="483"/>
      <c r="F2101" s="483">
        <v>4</v>
      </c>
      <c r="G2101" s="468"/>
      <c r="H2101" s="483"/>
      <c r="I2101" s="468"/>
      <c r="J2101" s="35">
        <f>SUM(J2096:J2099)</f>
        <v>75103000</v>
      </c>
      <c r="K2101" s="35">
        <f>SUM(K2096:K2100)</f>
        <v>229552000</v>
      </c>
      <c r="L2101" s="37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38"/>
      <c r="Y2101" s="84">
        <f>SUM(Y2096:Y2100)/4</f>
        <v>95.412882134150223</v>
      </c>
      <c r="Z2101" s="84">
        <f>SUM(Z2096:Z2100)/4</f>
        <v>95.412882134150223</v>
      </c>
      <c r="AA2101" s="68">
        <f>SUM(AA2096:AA2100)</f>
        <v>218918108</v>
      </c>
      <c r="AB2101" s="84">
        <f>SUM(AB2096:AB2100)/4</f>
        <v>95.412882134150223</v>
      </c>
      <c r="AC2101" s="68">
        <f>SUM(AC2096:AC2100)</f>
        <v>218918108</v>
      </c>
      <c r="AD2101" s="84">
        <f>SUM(AD2096:AD2100)/4</f>
        <v>95.412882134150223</v>
      </c>
    </row>
    <row r="2102" spans="2:30" ht="13.5" customHeight="1">
      <c r="B2102" s="66"/>
      <c r="C2102" s="63" t="s">
        <v>1179</v>
      </c>
      <c r="D2102" s="64" t="s">
        <v>1180</v>
      </c>
      <c r="E2102" s="484"/>
      <c r="F2102" s="484"/>
      <c r="G2102" s="472"/>
      <c r="H2102" s="484"/>
      <c r="I2102" s="472"/>
      <c r="J2102" s="65"/>
      <c r="K2102" s="65"/>
      <c r="L2102" s="66"/>
      <c r="M2102" s="63"/>
      <c r="N2102" s="63"/>
      <c r="O2102" s="63"/>
      <c r="P2102" s="63"/>
      <c r="Q2102" s="63"/>
      <c r="R2102" s="63"/>
      <c r="S2102" s="63"/>
      <c r="T2102" s="63"/>
      <c r="U2102" s="63"/>
      <c r="V2102" s="63"/>
      <c r="W2102" s="63"/>
      <c r="X2102" s="63"/>
      <c r="Y2102" s="63"/>
      <c r="Z2102" s="63"/>
      <c r="AA2102" s="63"/>
      <c r="AB2102" s="63"/>
      <c r="AC2102" s="63"/>
      <c r="AD2102" s="63"/>
    </row>
    <row r="2103" spans="2:30" ht="14.25" customHeight="1">
      <c r="B2103" s="48">
        <v>1</v>
      </c>
      <c r="C2103" s="17" t="s">
        <v>206</v>
      </c>
      <c r="D2103" s="39" t="s">
        <v>28</v>
      </c>
      <c r="E2103" s="204"/>
      <c r="F2103" s="204"/>
      <c r="G2103" s="193"/>
      <c r="H2103" s="204"/>
      <c r="I2103" s="193"/>
      <c r="J2103" s="15">
        <v>28536000</v>
      </c>
      <c r="K2103" s="99">
        <v>67861000</v>
      </c>
      <c r="L2103" s="13"/>
      <c r="M2103" s="17"/>
      <c r="N2103" s="17"/>
      <c r="O2103" s="17"/>
      <c r="P2103" s="17"/>
      <c r="Q2103" s="17"/>
      <c r="R2103" s="17"/>
      <c r="S2103" s="17"/>
      <c r="T2103" s="17"/>
      <c r="U2103" s="17"/>
      <c r="V2103" s="17"/>
      <c r="W2103" s="17"/>
      <c r="X2103" s="17"/>
      <c r="Y2103" s="53">
        <f>AB2103</f>
        <v>92.29666082138489</v>
      </c>
      <c r="Z2103" s="53">
        <f>AD2103</f>
        <v>92.29666082138489</v>
      </c>
      <c r="AA2103" s="22">
        <v>62633437</v>
      </c>
      <c r="AB2103" s="19">
        <f>AA2103/K2103*100</f>
        <v>92.29666082138489</v>
      </c>
      <c r="AC2103" s="22">
        <f>AA2103</f>
        <v>62633437</v>
      </c>
      <c r="AD2103" s="19">
        <f>AC2103/K2103*100</f>
        <v>92.29666082138489</v>
      </c>
    </row>
    <row r="2104" spans="2:30" ht="12.75" customHeight="1">
      <c r="B2104" s="13">
        <v>2</v>
      </c>
      <c r="C2104" s="17" t="s">
        <v>207</v>
      </c>
      <c r="D2104" s="39" t="s">
        <v>30</v>
      </c>
      <c r="E2104" s="204"/>
      <c r="F2104" s="204"/>
      <c r="G2104" s="193"/>
      <c r="H2104" s="204"/>
      <c r="I2104" s="193"/>
      <c r="J2104" s="15">
        <v>14640000</v>
      </c>
      <c r="K2104" s="99">
        <v>14640000</v>
      </c>
      <c r="L2104" s="13"/>
      <c r="M2104" s="17"/>
      <c r="N2104" s="17"/>
      <c r="O2104" s="17"/>
      <c r="P2104" s="17"/>
      <c r="Q2104" s="17"/>
      <c r="R2104" s="17"/>
      <c r="S2104" s="17"/>
      <c r="T2104" s="17"/>
      <c r="U2104" s="17"/>
      <c r="V2104" s="17"/>
      <c r="W2104" s="17"/>
      <c r="X2104" s="17"/>
      <c r="Y2104" s="53">
        <f>AB2104</f>
        <v>94.702698087431685</v>
      </c>
      <c r="Z2104" s="53">
        <f>AD2104</f>
        <v>94.702698087431685</v>
      </c>
      <c r="AA2104" s="22">
        <v>13864475</v>
      </c>
      <c r="AB2104" s="19">
        <f t="shared" ref="AB2104:AB2106" si="702">AA2104/K2104*100</f>
        <v>94.702698087431685</v>
      </c>
      <c r="AC2104" s="22">
        <f>AA2104</f>
        <v>13864475</v>
      </c>
      <c r="AD2104" s="19">
        <f t="shared" ref="AD2104:AD2106" si="703">AC2104/K2104*100</f>
        <v>94.702698087431685</v>
      </c>
    </row>
    <row r="2105" spans="2:30" ht="18.75" customHeight="1">
      <c r="B2105" s="45">
        <v>3</v>
      </c>
      <c r="C2105" s="44" t="s">
        <v>208</v>
      </c>
      <c r="D2105" s="78" t="s">
        <v>32</v>
      </c>
      <c r="E2105" s="489"/>
      <c r="F2105" s="489"/>
      <c r="G2105" s="240"/>
      <c r="H2105" s="489"/>
      <c r="I2105" s="240"/>
      <c r="J2105" s="15">
        <v>23856000</v>
      </c>
      <c r="K2105" s="99">
        <v>23856000</v>
      </c>
      <c r="L2105" s="45"/>
      <c r="M2105" s="44"/>
      <c r="N2105" s="44"/>
      <c r="O2105" s="44"/>
      <c r="P2105" s="44"/>
      <c r="Q2105" s="44"/>
      <c r="R2105" s="44"/>
      <c r="S2105" s="44"/>
      <c r="T2105" s="44"/>
      <c r="U2105" s="44"/>
      <c r="V2105" s="44"/>
      <c r="W2105" s="44"/>
      <c r="X2105" s="44"/>
      <c r="Y2105" s="55">
        <f>AB2105</f>
        <v>99.821847753185779</v>
      </c>
      <c r="Z2105" s="55">
        <f>AD2105</f>
        <v>99.821847753185779</v>
      </c>
      <c r="AA2105" s="73">
        <v>23813500</v>
      </c>
      <c r="AB2105" s="19">
        <f t="shared" si="702"/>
        <v>99.821847753185779</v>
      </c>
      <c r="AC2105" s="73">
        <f>AA2105</f>
        <v>23813500</v>
      </c>
      <c r="AD2105" s="19">
        <f t="shared" si="703"/>
        <v>99.821847753185779</v>
      </c>
    </row>
    <row r="2106" spans="2:30" ht="18.75" customHeight="1">
      <c r="B2106" s="47">
        <v>4</v>
      </c>
      <c r="C2106" s="670" t="s">
        <v>2346</v>
      </c>
      <c r="D2106" s="17" t="s">
        <v>2347</v>
      </c>
      <c r="E2106" s="347"/>
      <c r="F2106" s="347"/>
      <c r="G2106" s="498"/>
      <c r="H2106" s="347"/>
      <c r="I2106" s="498"/>
      <c r="J2106" s="598"/>
      <c r="K2106" s="99">
        <v>107274000</v>
      </c>
      <c r="L2106" s="47"/>
      <c r="M2106" s="51"/>
      <c r="N2106" s="51"/>
      <c r="O2106" s="51"/>
      <c r="P2106" s="51"/>
      <c r="Q2106" s="51"/>
      <c r="R2106" s="51"/>
      <c r="S2106" s="51"/>
      <c r="T2106" s="51"/>
      <c r="U2106" s="51"/>
      <c r="V2106" s="51"/>
      <c r="W2106" s="51"/>
      <c r="X2106" s="51"/>
      <c r="Y2106" s="55">
        <f>AB2106</f>
        <v>100</v>
      </c>
      <c r="Z2106" s="55">
        <f>AD2106</f>
        <v>100</v>
      </c>
      <c r="AA2106" s="112">
        <v>107274000</v>
      </c>
      <c r="AB2106" s="19">
        <f t="shared" si="702"/>
        <v>100</v>
      </c>
      <c r="AC2106" s="73">
        <f>AA2106</f>
        <v>107274000</v>
      </c>
      <c r="AD2106" s="19">
        <f t="shared" si="703"/>
        <v>100</v>
      </c>
    </row>
    <row r="2107" spans="2:30">
      <c r="B2107" s="37">
        <v>160</v>
      </c>
      <c r="C2107" s="855" t="s">
        <v>1181</v>
      </c>
      <c r="D2107" s="855"/>
      <c r="E2107" s="483"/>
      <c r="F2107" s="483">
        <v>4</v>
      </c>
      <c r="G2107" s="468"/>
      <c r="H2107" s="483"/>
      <c r="I2107" s="468"/>
      <c r="J2107" s="35">
        <f>SUM(J2103:J2105)</f>
        <v>67032000</v>
      </c>
      <c r="K2107" s="35">
        <f>SUM(K2103:K2106)</f>
        <v>213631000</v>
      </c>
      <c r="L2107" s="37"/>
      <c r="M2107" s="38"/>
      <c r="N2107" s="38"/>
      <c r="O2107" s="38"/>
      <c r="P2107" s="38"/>
      <c r="Q2107" s="38"/>
      <c r="R2107" s="38"/>
      <c r="S2107" s="38"/>
      <c r="T2107" s="38"/>
      <c r="U2107" s="38"/>
      <c r="V2107" s="38"/>
      <c r="W2107" s="38"/>
      <c r="X2107" s="38"/>
      <c r="Y2107" s="42">
        <f>SUM(Y2103:Y2105)/3</f>
        <v>95.607068887334137</v>
      </c>
      <c r="Z2107" s="42">
        <f>SUM(Z2103:Z2105)/3</f>
        <v>95.607068887334137</v>
      </c>
      <c r="AA2107" s="67">
        <f>SUM(AA2103:AA2106)</f>
        <v>207585412</v>
      </c>
      <c r="AB2107" s="28">
        <f>SUM(AB2103:AB2105)/3</f>
        <v>95.607068887334137</v>
      </c>
      <c r="AC2107" s="67">
        <f>SUM(AC2103:AC2105)</f>
        <v>100311412</v>
      </c>
      <c r="AD2107" s="28">
        <f>SUM(AD2103:AD2105)/3</f>
        <v>95.607068887334137</v>
      </c>
    </row>
    <row r="2108" spans="2:30">
      <c r="B2108" s="62"/>
      <c r="C2108" s="63" t="s">
        <v>1182</v>
      </c>
      <c r="D2108" s="64" t="s">
        <v>1183</v>
      </c>
      <c r="E2108" s="484"/>
      <c r="F2108" s="484"/>
      <c r="G2108" s="472"/>
      <c r="H2108" s="484"/>
      <c r="I2108" s="472"/>
      <c r="J2108" s="65"/>
      <c r="K2108" s="65"/>
      <c r="L2108" s="66"/>
      <c r="M2108" s="63"/>
      <c r="N2108" s="63"/>
      <c r="O2108" s="63"/>
      <c r="P2108" s="63"/>
      <c r="Q2108" s="63"/>
      <c r="R2108" s="63"/>
      <c r="S2108" s="63"/>
      <c r="T2108" s="63"/>
      <c r="U2108" s="63"/>
      <c r="V2108" s="63"/>
      <c r="W2108" s="63"/>
      <c r="X2108" s="63"/>
      <c r="Y2108" s="63"/>
      <c r="Z2108" s="63"/>
      <c r="AA2108" s="63"/>
      <c r="AB2108" s="63"/>
      <c r="AC2108" s="63"/>
      <c r="AD2108" s="63"/>
    </row>
    <row r="2109" spans="2:30">
      <c r="B2109" s="13">
        <v>1</v>
      </c>
      <c r="C2109" s="17" t="s">
        <v>206</v>
      </c>
      <c r="D2109" s="39" t="s">
        <v>28</v>
      </c>
      <c r="E2109" s="204"/>
      <c r="F2109" s="204"/>
      <c r="G2109" s="193"/>
      <c r="H2109" s="204"/>
      <c r="I2109" s="193"/>
      <c r="J2109" s="15">
        <v>25627000</v>
      </c>
      <c r="K2109" s="99">
        <v>62202000</v>
      </c>
      <c r="L2109" s="13"/>
      <c r="M2109" s="17"/>
      <c r="N2109" s="17"/>
      <c r="O2109" s="17"/>
      <c r="P2109" s="17"/>
      <c r="Q2109" s="17" t="s">
        <v>1</v>
      </c>
      <c r="R2109" s="17"/>
      <c r="S2109" s="17"/>
      <c r="T2109" s="17"/>
      <c r="U2109" s="17"/>
      <c r="V2109" s="17"/>
      <c r="W2109" s="17"/>
      <c r="X2109" s="17"/>
      <c r="Y2109" s="53">
        <v>100</v>
      </c>
      <c r="Z2109" s="53">
        <f>AB2109</f>
        <v>98.126359281052061</v>
      </c>
      <c r="AA2109" s="22">
        <v>61036558</v>
      </c>
      <c r="AB2109" s="19">
        <f>AA2109/K2109*100</f>
        <v>98.126359281052061</v>
      </c>
      <c r="AC2109" s="22">
        <f>AA2109</f>
        <v>61036558</v>
      </c>
      <c r="AD2109" s="19">
        <f>AC2109/K2109*100</f>
        <v>98.126359281052061</v>
      </c>
    </row>
    <row r="2110" spans="2:30">
      <c r="B2110" s="13">
        <v>2</v>
      </c>
      <c r="C2110" s="17" t="s">
        <v>207</v>
      </c>
      <c r="D2110" s="39" t="s">
        <v>30</v>
      </c>
      <c r="E2110" s="204"/>
      <c r="F2110" s="204"/>
      <c r="G2110" s="193"/>
      <c r="H2110" s="204"/>
      <c r="I2110" s="193"/>
      <c r="J2110" s="15">
        <v>500000</v>
      </c>
      <c r="K2110" s="99">
        <v>500000</v>
      </c>
      <c r="L2110" s="13"/>
      <c r="M2110" s="17"/>
      <c r="N2110" s="17"/>
      <c r="O2110" s="17"/>
      <c r="P2110" s="17"/>
      <c r="Q2110" s="17"/>
      <c r="R2110" s="17"/>
      <c r="S2110" s="17"/>
      <c r="T2110" s="17"/>
      <c r="U2110" s="17"/>
      <c r="V2110" s="17"/>
      <c r="W2110" s="17"/>
      <c r="X2110" s="17"/>
      <c r="Y2110" s="53">
        <v>100</v>
      </c>
      <c r="Z2110" s="53">
        <f t="shared" ref="Z2110:Z2113" si="704">AB2110</f>
        <v>100</v>
      </c>
      <c r="AA2110" s="22">
        <v>500000</v>
      </c>
      <c r="AB2110" s="19">
        <f t="shared" ref="AB2110:AB2113" si="705">AA2110/K2110*100</f>
        <v>100</v>
      </c>
      <c r="AC2110" s="22">
        <f t="shared" ref="AC2110:AC2113" si="706">AA2110</f>
        <v>500000</v>
      </c>
      <c r="AD2110" s="19">
        <f t="shared" ref="AD2110:AD2113" si="707">AC2110/K2110*100</f>
        <v>100</v>
      </c>
    </row>
    <row r="2111" spans="2:30">
      <c r="B2111" s="13">
        <v>3</v>
      </c>
      <c r="C2111" s="17" t="s">
        <v>208</v>
      </c>
      <c r="D2111" s="39" t="s">
        <v>32</v>
      </c>
      <c r="E2111" s="204"/>
      <c r="F2111" s="204"/>
      <c r="G2111" s="193"/>
      <c r="H2111" s="204"/>
      <c r="I2111" s="193"/>
      <c r="J2111" s="15">
        <v>24254000</v>
      </c>
      <c r="K2111" s="99">
        <v>20754000</v>
      </c>
      <c r="L2111" s="13"/>
      <c r="M2111" s="17"/>
      <c r="N2111" s="17"/>
      <c r="O2111" s="17"/>
      <c r="P2111" s="17"/>
      <c r="Q2111" s="17"/>
      <c r="R2111" s="17"/>
      <c r="S2111" s="17"/>
      <c r="T2111" s="17"/>
      <c r="U2111" s="17"/>
      <c r="V2111" s="17"/>
      <c r="W2111" s="17"/>
      <c r="X2111" s="17"/>
      <c r="Y2111" s="53">
        <v>100</v>
      </c>
      <c r="Z2111" s="53">
        <f t="shared" si="704"/>
        <v>98.293341042690557</v>
      </c>
      <c r="AA2111" s="22">
        <v>20399800</v>
      </c>
      <c r="AB2111" s="19">
        <f t="shared" si="705"/>
        <v>98.293341042690557</v>
      </c>
      <c r="AC2111" s="22">
        <f t="shared" si="706"/>
        <v>20399800</v>
      </c>
      <c r="AD2111" s="19">
        <f t="shared" si="707"/>
        <v>98.293341042690557</v>
      </c>
    </row>
    <row r="2112" spans="2:30">
      <c r="B2112" s="45">
        <f>B2111+1</f>
        <v>4</v>
      </c>
      <c r="C2112" s="44" t="s">
        <v>209</v>
      </c>
      <c r="D2112" s="78" t="s">
        <v>34</v>
      </c>
      <c r="E2112" s="489"/>
      <c r="F2112" s="489"/>
      <c r="G2112" s="240"/>
      <c r="H2112" s="489"/>
      <c r="I2112" s="240"/>
      <c r="J2112" s="15">
        <v>16000000</v>
      </c>
      <c r="K2112" s="99">
        <v>18700000</v>
      </c>
      <c r="L2112" s="45"/>
      <c r="M2112" s="44"/>
      <c r="N2112" s="44"/>
      <c r="O2112" s="44"/>
      <c r="P2112" s="44"/>
      <c r="Q2112" s="44"/>
      <c r="R2112" s="44"/>
      <c r="S2112" s="44"/>
      <c r="T2112" s="44"/>
      <c r="U2112" s="44"/>
      <c r="V2112" s="44"/>
      <c r="W2112" s="44"/>
      <c r="X2112" s="44"/>
      <c r="Y2112" s="53">
        <v>100</v>
      </c>
      <c r="Z2112" s="53">
        <f t="shared" si="704"/>
        <v>100</v>
      </c>
      <c r="AA2112" s="73">
        <v>18700000</v>
      </c>
      <c r="AB2112" s="19">
        <f t="shared" si="705"/>
        <v>100</v>
      </c>
      <c r="AC2112" s="22">
        <f t="shared" si="706"/>
        <v>18700000</v>
      </c>
      <c r="AD2112" s="19">
        <f t="shared" si="707"/>
        <v>100</v>
      </c>
    </row>
    <row r="2113" spans="2:30">
      <c r="B2113" s="45">
        <f>B2112+1</f>
        <v>5</v>
      </c>
      <c r="C2113" s="670" t="s">
        <v>2351</v>
      </c>
      <c r="D2113" s="17" t="s">
        <v>2347</v>
      </c>
      <c r="E2113" s="347"/>
      <c r="F2113" s="347"/>
      <c r="G2113" s="498"/>
      <c r="H2113" s="347"/>
      <c r="I2113" s="498"/>
      <c r="J2113" s="598"/>
      <c r="K2113" s="99">
        <v>118194000</v>
      </c>
      <c r="L2113" s="47"/>
      <c r="M2113" s="51"/>
      <c r="N2113" s="51"/>
      <c r="O2113" s="51"/>
      <c r="P2113" s="51"/>
      <c r="Q2113" s="51"/>
      <c r="R2113" s="51"/>
      <c r="S2113" s="51"/>
      <c r="T2113" s="51"/>
      <c r="U2113" s="51"/>
      <c r="V2113" s="51"/>
      <c r="W2113" s="51"/>
      <c r="X2113" s="51"/>
      <c r="Y2113" s="53">
        <v>100</v>
      </c>
      <c r="Z2113" s="53">
        <f t="shared" si="704"/>
        <v>99.593888014620035</v>
      </c>
      <c r="AA2113" s="112">
        <v>117714000</v>
      </c>
      <c r="AB2113" s="19">
        <f t="shared" si="705"/>
        <v>99.593888014620035</v>
      </c>
      <c r="AC2113" s="22">
        <f t="shared" si="706"/>
        <v>117714000</v>
      </c>
      <c r="AD2113" s="19">
        <f t="shared" si="707"/>
        <v>99.593888014620035</v>
      </c>
    </row>
    <row r="2114" spans="2:30">
      <c r="B2114" s="37">
        <v>161</v>
      </c>
      <c r="C2114" s="855" t="s">
        <v>1184</v>
      </c>
      <c r="D2114" s="855"/>
      <c r="E2114" s="483"/>
      <c r="F2114" s="483">
        <v>5</v>
      </c>
      <c r="G2114" s="468"/>
      <c r="H2114" s="483"/>
      <c r="I2114" s="468"/>
      <c r="J2114" s="35">
        <f>SUM(J2109:J2112)</f>
        <v>66381000</v>
      </c>
      <c r="K2114" s="35">
        <f>SUM(K2109:K2113)</f>
        <v>220350000</v>
      </c>
      <c r="L2114" s="37"/>
      <c r="M2114" s="38"/>
      <c r="N2114" s="38"/>
      <c r="O2114" s="38"/>
      <c r="P2114" s="38"/>
      <c r="Q2114" s="38"/>
      <c r="R2114" s="38"/>
      <c r="S2114" s="38"/>
      <c r="T2114" s="38"/>
      <c r="U2114" s="38"/>
      <c r="V2114" s="38"/>
      <c r="W2114" s="38"/>
      <c r="X2114" s="38"/>
      <c r="Y2114" s="28">
        <f>SUM(Y2109:Y2112)/4</f>
        <v>100</v>
      </c>
      <c r="Z2114" s="42">
        <f>SUM(Z2109:Z2112)/4</f>
        <v>99.104925080935658</v>
      </c>
      <c r="AA2114" s="67">
        <f>SUM(AA2109:AA2113)</f>
        <v>218350358</v>
      </c>
      <c r="AB2114" s="42">
        <f>SUM(AB2109:AB2112)/4</f>
        <v>99.104925080935658</v>
      </c>
      <c r="AC2114" s="67">
        <f>SUM(AC2109:AC2113)</f>
        <v>218350358</v>
      </c>
      <c r="AD2114" s="42">
        <f>SUM(AD2109:AD2112)/4</f>
        <v>99.104925080935658</v>
      </c>
    </row>
    <row r="2115" spans="2:30">
      <c r="B2115" s="62"/>
      <c r="C2115" s="63" t="s">
        <v>1185</v>
      </c>
      <c r="D2115" s="64" t="s">
        <v>1186</v>
      </c>
      <c r="E2115" s="484"/>
      <c r="F2115" s="484"/>
      <c r="G2115" s="472"/>
      <c r="H2115" s="484"/>
      <c r="I2115" s="472"/>
      <c r="J2115" s="65"/>
      <c r="K2115" s="65"/>
      <c r="L2115" s="66"/>
      <c r="M2115" s="63"/>
      <c r="N2115" s="63"/>
      <c r="O2115" s="63"/>
      <c r="P2115" s="63"/>
      <c r="Q2115" s="63"/>
      <c r="R2115" s="63"/>
      <c r="S2115" s="63"/>
      <c r="T2115" s="63"/>
      <c r="U2115" s="63"/>
      <c r="V2115" s="63"/>
      <c r="W2115" s="63"/>
      <c r="X2115" s="63"/>
      <c r="Y2115" s="63"/>
      <c r="Z2115" s="63"/>
      <c r="AA2115" s="63"/>
      <c r="AB2115" s="63"/>
      <c r="AC2115" s="63"/>
      <c r="AD2115" s="63"/>
    </row>
    <row r="2116" spans="2:30">
      <c r="B2116" s="13">
        <v>1</v>
      </c>
      <c r="C2116" s="17" t="s">
        <v>206</v>
      </c>
      <c r="D2116" s="39" t="s">
        <v>28</v>
      </c>
      <c r="E2116" s="204"/>
      <c r="F2116" s="204"/>
      <c r="G2116" s="193"/>
      <c r="H2116" s="204"/>
      <c r="I2116" s="193"/>
      <c r="J2116" s="15">
        <v>32562000</v>
      </c>
      <c r="K2116" s="99">
        <v>80187000</v>
      </c>
      <c r="L2116" s="13"/>
      <c r="M2116" s="17"/>
      <c r="N2116" s="17"/>
      <c r="O2116" s="17"/>
      <c r="P2116" s="17"/>
      <c r="Q2116" s="17" t="s">
        <v>1</v>
      </c>
      <c r="R2116" s="17"/>
      <c r="S2116" s="17"/>
      <c r="T2116" s="17"/>
      <c r="U2116" s="17"/>
      <c r="V2116" s="17"/>
      <c r="W2116" s="17"/>
      <c r="X2116" s="17"/>
      <c r="Y2116" s="251">
        <v>100</v>
      </c>
      <c r="Z2116" s="251">
        <v>96</v>
      </c>
      <c r="AA2116" s="20">
        <f>21600000+10875000+48615743</f>
        <v>81090743</v>
      </c>
      <c r="AB2116" s="98">
        <f>AA2116/K2116*100</f>
        <v>101.12704428398618</v>
      </c>
      <c r="AC2116" s="20">
        <f>AA2116</f>
        <v>81090743</v>
      </c>
      <c r="AD2116" s="98">
        <f>AC2116/K2116*100</f>
        <v>101.12704428398618</v>
      </c>
    </row>
    <row r="2117" spans="2:30">
      <c r="B2117" s="13">
        <v>2</v>
      </c>
      <c r="C2117" s="17" t="s">
        <v>207</v>
      </c>
      <c r="D2117" s="49" t="s">
        <v>30</v>
      </c>
      <c r="E2117" s="204"/>
      <c r="F2117" s="204"/>
      <c r="G2117" s="193"/>
      <c r="H2117" s="204"/>
      <c r="I2117" s="193"/>
      <c r="J2117" s="15">
        <v>3300000</v>
      </c>
      <c r="K2117" s="99">
        <v>1320000</v>
      </c>
      <c r="L2117" s="13"/>
      <c r="M2117" s="17"/>
      <c r="N2117" s="17"/>
      <c r="O2117" s="17"/>
      <c r="P2117" s="17"/>
      <c r="Q2117" s="17"/>
      <c r="R2117" s="17"/>
      <c r="S2117" s="17"/>
      <c r="T2117" s="17"/>
      <c r="U2117" s="17"/>
      <c r="V2117" s="17"/>
      <c r="W2117" s="17"/>
      <c r="X2117" s="17"/>
      <c r="Y2117" s="251">
        <f t="shared" ref="Y2117:Y2119" si="708">AB2117</f>
        <v>100</v>
      </c>
      <c r="Z2117" s="251">
        <f t="shared" ref="Z2117:Z2119" si="709">AD2117</f>
        <v>100</v>
      </c>
      <c r="AA2117" s="20">
        <v>1320000</v>
      </c>
      <c r="AB2117" s="98">
        <f t="shared" ref="AB2117:AB2120" si="710">AA2117/K2117*100</f>
        <v>100</v>
      </c>
      <c r="AC2117" s="20">
        <f>AA2117</f>
        <v>1320000</v>
      </c>
      <c r="AD2117" s="98">
        <f t="shared" ref="AD2117:AD2120" si="711">AC2117/K2117*100</f>
        <v>100</v>
      </c>
    </row>
    <row r="2118" spans="2:30">
      <c r="B2118" s="13">
        <v>3</v>
      </c>
      <c r="C2118" s="17" t="s">
        <v>208</v>
      </c>
      <c r="D2118" s="39" t="s">
        <v>32</v>
      </c>
      <c r="E2118" s="204"/>
      <c r="F2118" s="204"/>
      <c r="G2118" s="193"/>
      <c r="H2118" s="204"/>
      <c r="I2118" s="193"/>
      <c r="J2118" s="15">
        <v>31442000</v>
      </c>
      <c r="K2118" s="99">
        <v>23622000</v>
      </c>
      <c r="L2118" s="13"/>
      <c r="M2118" s="17" t="s">
        <v>1</v>
      </c>
      <c r="N2118" s="17"/>
      <c r="O2118" s="17"/>
      <c r="P2118" s="17"/>
      <c r="Q2118" s="17"/>
      <c r="R2118" s="17"/>
      <c r="S2118" s="17"/>
      <c r="T2118" s="17"/>
      <c r="U2118" s="17"/>
      <c r="V2118" s="17"/>
      <c r="W2118" s="17"/>
      <c r="X2118" s="17"/>
      <c r="Y2118" s="251">
        <v>100</v>
      </c>
      <c r="Z2118" s="251">
        <v>99</v>
      </c>
      <c r="AA2118" s="20">
        <v>19107500</v>
      </c>
      <c r="AB2118" s="98">
        <f t="shared" si="710"/>
        <v>80.888578443823562</v>
      </c>
      <c r="AC2118" s="20">
        <f>AA2118</f>
        <v>19107500</v>
      </c>
      <c r="AD2118" s="98">
        <f t="shared" si="711"/>
        <v>80.888578443823562</v>
      </c>
    </row>
    <row r="2119" spans="2:30">
      <c r="B2119" s="45">
        <v>4</v>
      </c>
      <c r="C2119" s="44" t="s">
        <v>209</v>
      </c>
      <c r="D2119" s="78" t="s">
        <v>34</v>
      </c>
      <c r="E2119" s="489"/>
      <c r="F2119" s="489"/>
      <c r="G2119" s="240"/>
      <c r="H2119" s="489"/>
      <c r="I2119" s="240"/>
      <c r="J2119" s="15">
        <v>15000000</v>
      </c>
      <c r="K2119" s="99">
        <v>20650000</v>
      </c>
      <c r="L2119" s="45"/>
      <c r="M2119" s="44"/>
      <c r="N2119" s="44"/>
      <c r="O2119" s="44"/>
      <c r="P2119" s="44"/>
      <c r="Q2119" s="44"/>
      <c r="R2119" s="44"/>
      <c r="S2119" s="44"/>
      <c r="T2119" s="44"/>
      <c r="U2119" s="44"/>
      <c r="V2119" s="44"/>
      <c r="W2119" s="44"/>
      <c r="X2119" s="44"/>
      <c r="Y2119" s="251">
        <f t="shared" si="708"/>
        <v>100</v>
      </c>
      <c r="Z2119" s="251">
        <f t="shared" si="709"/>
        <v>100</v>
      </c>
      <c r="AA2119" s="100">
        <v>20650000</v>
      </c>
      <c r="AB2119" s="98">
        <f t="shared" si="710"/>
        <v>100</v>
      </c>
      <c r="AC2119" s="100">
        <f>AA2119</f>
        <v>20650000</v>
      </c>
      <c r="AD2119" s="98">
        <f t="shared" si="711"/>
        <v>100</v>
      </c>
    </row>
    <row r="2120" spans="2:30">
      <c r="B2120" s="45">
        <f>B2119+1</f>
        <v>5</v>
      </c>
      <c r="C2120" s="670" t="s">
        <v>2351</v>
      </c>
      <c r="D2120" s="17" t="s">
        <v>2347</v>
      </c>
      <c r="E2120" s="347"/>
      <c r="F2120" s="347"/>
      <c r="G2120" s="498"/>
      <c r="H2120" s="347"/>
      <c r="I2120" s="498"/>
      <c r="J2120" s="598"/>
      <c r="K2120" s="99">
        <v>106434000</v>
      </c>
      <c r="L2120" s="47"/>
      <c r="M2120" s="51"/>
      <c r="N2120" s="51"/>
      <c r="O2120" s="51"/>
      <c r="P2120" s="51"/>
      <c r="Q2120" s="51"/>
      <c r="R2120" s="51"/>
      <c r="S2120" s="51"/>
      <c r="T2120" s="51"/>
      <c r="U2120" s="51"/>
      <c r="V2120" s="51"/>
      <c r="W2120" s="51"/>
      <c r="X2120" s="51"/>
      <c r="Y2120" s="251">
        <v>100</v>
      </c>
      <c r="Z2120" s="251">
        <v>100</v>
      </c>
      <c r="AA2120" s="239">
        <v>106434000</v>
      </c>
      <c r="AB2120" s="98">
        <f t="shared" si="710"/>
        <v>100</v>
      </c>
      <c r="AC2120" s="239">
        <f>AA2120</f>
        <v>106434000</v>
      </c>
      <c r="AD2120" s="98">
        <f t="shared" si="711"/>
        <v>100</v>
      </c>
    </row>
    <row r="2121" spans="2:30">
      <c r="B2121" s="37">
        <v>162</v>
      </c>
      <c r="C2121" s="855" t="s">
        <v>1187</v>
      </c>
      <c r="D2121" s="855"/>
      <c r="E2121" s="483"/>
      <c r="F2121" s="483">
        <v>5</v>
      </c>
      <c r="G2121" s="468"/>
      <c r="H2121" s="483"/>
      <c r="I2121" s="468"/>
      <c r="J2121" s="35">
        <f>SUM(J2116:J2119)</f>
        <v>82304000</v>
      </c>
      <c r="K2121" s="35">
        <f>SUM(K2116:K2120)</f>
        <v>232213000</v>
      </c>
      <c r="L2121" s="37"/>
      <c r="M2121" s="38"/>
      <c r="N2121" s="38"/>
      <c r="O2121" s="38"/>
      <c r="P2121" s="38"/>
      <c r="Q2121" s="38"/>
      <c r="R2121" s="38"/>
      <c r="S2121" s="38"/>
      <c r="T2121" s="38"/>
      <c r="U2121" s="38"/>
      <c r="V2121" s="38"/>
      <c r="W2121" s="38"/>
      <c r="X2121" s="38"/>
      <c r="Y2121" s="42">
        <f>SUM(Y2116:Y2120)/5</f>
        <v>100</v>
      </c>
      <c r="Z2121" s="42">
        <f>SUM(Z2116:Z2120)/5</f>
        <v>99</v>
      </c>
      <c r="AA2121" s="245">
        <f>SUM(AA2116:AA2120)</f>
        <v>228602243</v>
      </c>
      <c r="AB2121" s="82">
        <f>SUM(AB2116:AB2120)/5</f>
        <v>96.403124545561951</v>
      </c>
      <c r="AC2121" s="245">
        <f>SUM(AC2116:AC2120)</f>
        <v>228602243</v>
      </c>
      <c r="AD2121" s="82">
        <f>SUM(AD2116:AD2120)/5</f>
        <v>96.403124545561951</v>
      </c>
    </row>
    <row r="2122" spans="2:30">
      <c r="B2122" s="66"/>
      <c r="C2122" s="63" t="s">
        <v>1188</v>
      </c>
      <c r="D2122" s="64" t="s">
        <v>1189</v>
      </c>
      <c r="E2122" s="484"/>
      <c r="F2122" s="484"/>
      <c r="G2122" s="472"/>
      <c r="H2122" s="484"/>
      <c r="I2122" s="472"/>
      <c r="J2122" s="65"/>
      <c r="K2122" s="65"/>
      <c r="L2122" s="66"/>
      <c r="M2122" s="63"/>
      <c r="N2122" s="63"/>
      <c r="O2122" s="63"/>
      <c r="P2122" s="63"/>
      <c r="Q2122" s="63"/>
      <c r="R2122" s="63"/>
      <c r="S2122" s="63"/>
      <c r="T2122" s="63"/>
      <c r="U2122" s="63"/>
      <c r="V2122" s="63"/>
      <c r="W2122" s="63"/>
      <c r="X2122" s="63"/>
      <c r="Y2122" s="63"/>
      <c r="Z2122" s="63"/>
      <c r="AA2122" s="63"/>
      <c r="AB2122" s="63"/>
      <c r="AC2122" s="63"/>
      <c r="AD2122" s="63"/>
    </row>
    <row r="2123" spans="2:30">
      <c r="B2123" s="48">
        <v>1</v>
      </c>
      <c r="C2123" s="17" t="s">
        <v>206</v>
      </c>
      <c r="D2123" s="39" t="s">
        <v>28</v>
      </c>
      <c r="E2123" s="204"/>
      <c r="F2123" s="204"/>
      <c r="G2123" s="193"/>
      <c r="H2123" s="204"/>
      <c r="I2123" s="193"/>
      <c r="J2123" s="15">
        <v>27617000</v>
      </c>
      <c r="K2123" s="99">
        <v>71942000</v>
      </c>
      <c r="L2123" s="13"/>
      <c r="M2123" s="17"/>
      <c r="N2123" s="17"/>
      <c r="O2123" s="17"/>
      <c r="P2123" s="17"/>
      <c r="Q2123" s="17"/>
      <c r="R2123" s="17"/>
      <c r="S2123" s="17"/>
      <c r="T2123" s="17"/>
      <c r="U2123" s="17"/>
      <c r="V2123" s="17"/>
      <c r="W2123" s="17"/>
      <c r="X2123" s="17"/>
      <c r="Y2123" s="53">
        <v>100</v>
      </c>
      <c r="Z2123" s="53">
        <v>96.28</v>
      </c>
      <c r="AA2123" s="22">
        <f>Z2123/Y2123*K2123</f>
        <v>69265757.599999994</v>
      </c>
      <c r="AB2123" s="19">
        <f>AA2123/K2123*100</f>
        <v>96.279999999999987</v>
      </c>
      <c r="AC2123" s="22">
        <f>AA2123</f>
        <v>69265757.599999994</v>
      </c>
      <c r="AD2123" s="19">
        <f>AC2123/K2123*100</f>
        <v>96.279999999999987</v>
      </c>
    </row>
    <row r="2124" spans="2:30">
      <c r="B2124" s="13">
        <v>2</v>
      </c>
      <c r="C2124" s="17" t="s">
        <v>208</v>
      </c>
      <c r="D2124" s="39" t="s">
        <v>32</v>
      </c>
      <c r="E2124" s="204"/>
      <c r="F2124" s="204"/>
      <c r="G2124" s="193"/>
      <c r="H2124" s="204"/>
      <c r="I2124" s="193"/>
      <c r="J2124" s="15">
        <v>34320000</v>
      </c>
      <c r="K2124" s="99">
        <v>34320000</v>
      </c>
      <c r="L2124" s="13"/>
      <c r="M2124" s="17"/>
      <c r="N2124" s="17"/>
      <c r="O2124" s="17"/>
      <c r="P2124" s="17"/>
      <c r="Q2124" s="17"/>
      <c r="R2124" s="17"/>
      <c r="S2124" s="17"/>
      <c r="T2124" s="17"/>
      <c r="U2124" s="17"/>
      <c r="V2124" s="17"/>
      <c r="W2124" s="17"/>
      <c r="X2124" s="17"/>
      <c r="Y2124" s="53">
        <v>100</v>
      </c>
      <c r="Z2124" s="53">
        <v>99.82</v>
      </c>
      <c r="AA2124" s="22">
        <f t="shared" ref="AA2124:AA2126" si="712">Z2124/Y2124*K2124</f>
        <v>34258224</v>
      </c>
      <c r="AB2124" s="19">
        <f t="shared" ref="AB2124:AB2126" si="713">AA2124/K2124*100</f>
        <v>99.82</v>
      </c>
      <c r="AC2124" s="22">
        <f t="shared" ref="AC2124:AC2126" si="714">AA2124</f>
        <v>34258224</v>
      </c>
      <c r="AD2124" s="19">
        <f t="shared" ref="AD2124:AD2126" si="715">AC2124/K2124*100</f>
        <v>99.82</v>
      </c>
    </row>
    <row r="2125" spans="2:30">
      <c r="B2125" s="45">
        <v>3</v>
      </c>
      <c r="C2125" s="44" t="s">
        <v>209</v>
      </c>
      <c r="D2125" s="78" t="s">
        <v>34</v>
      </c>
      <c r="E2125" s="489"/>
      <c r="F2125" s="489"/>
      <c r="G2125" s="240"/>
      <c r="H2125" s="489"/>
      <c r="I2125" s="240"/>
      <c r="J2125" s="15">
        <v>13250000</v>
      </c>
      <c r="K2125" s="99">
        <v>8675000</v>
      </c>
      <c r="L2125" s="45"/>
      <c r="M2125" s="44"/>
      <c r="N2125" s="44"/>
      <c r="O2125" s="44"/>
      <c r="P2125" s="44"/>
      <c r="Q2125" s="44"/>
      <c r="R2125" s="44"/>
      <c r="S2125" s="44"/>
      <c r="T2125" s="44"/>
      <c r="U2125" s="44"/>
      <c r="V2125" s="44"/>
      <c r="W2125" s="44"/>
      <c r="X2125" s="44"/>
      <c r="Y2125" s="53">
        <v>100</v>
      </c>
      <c r="Z2125" s="55">
        <v>100</v>
      </c>
      <c r="AA2125" s="22">
        <f t="shared" si="712"/>
        <v>8675000</v>
      </c>
      <c r="AB2125" s="19">
        <f t="shared" si="713"/>
        <v>100</v>
      </c>
      <c r="AC2125" s="22">
        <f t="shared" si="714"/>
        <v>8675000</v>
      </c>
      <c r="AD2125" s="19">
        <f t="shared" si="715"/>
        <v>100</v>
      </c>
    </row>
    <row r="2126" spans="2:30">
      <c r="B2126" s="45">
        <v>4</v>
      </c>
      <c r="C2126" s="670" t="s">
        <v>2351</v>
      </c>
      <c r="D2126" s="17" t="s">
        <v>2347</v>
      </c>
      <c r="E2126" s="347"/>
      <c r="F2126" s="347"/>
      <c r="G2126" s="498"/>
      <c r="H2126" s="347"/>
      <c r="I2126" s="498"/>
      <c r="J2126" s="598"/>
      <c r="K2126" s="99">
        <v>111954000</v>
      </c>
      <c r="L2126" s="47"/>
      <c r="M2126" s="51"/>
      <c r="N2126" s="51"/>
      <c r="O2126" s="51"/>
      <c r="P2126" s="51"/>
      <c r="Q2126" s="51"/>
      <c r="R2126" s="51"/>
      <c r="S2126" s="51"/>
      <c r="T2126" s="51"/>
      <c r="U2126" s="51"/>
      <c r="V2126" s="51"/>
      <c r="W2126" s="51"/>
      <c r="X2126" s="51"/>
      <c r="Y2126" s="53">
        <v>100</v>
      </c>
      <c r="Z2126" s="55">
        <v>75.849999999999994</v>
      </c>
      <c r="AA2126" s="22">
        <f t="shared" si="712"/>
        <v>84917109</v>
      </c>
      <c r="AB2126" s="19">
        <f t="shared" si="713"/>
        <v>75.849999999999994</v>
      </c>
      <c r="AC2126" s="22">
        <f t="shared" si="714"/>
        <v>84917109</v>
      </c>
      <c r="AD2126" s="19">
        <f t="shared" si="715"/>
        <v>75.849999999999994</v>
      </c>
    </row>
    <row r="2127" spans="2:30">
      <c r="B2127" s="37">
        <v>163</v>
      </c>
      <c r="C2127" s="855" t="s">
        <v>1190</v>
      </c>
      <c r="D2127" s="855"/>
      <c r="E2127" s="483"/>
      <c r="F2127" s="483">
        <v>4</v>
      </c>
      <c r="G2127" s="468"/>
      <c r="H2127" s="483"/>
      <c r="I2127" s="468"/>
      <c r="J2127" s="35">
        <f>SUM(J2123:J2125)</f>
        <v>75187000</v>
      </c>
      <c r="K2127" s="35">
        <f>SUM(K2123:K2126)</f>
        <v>226891000</v>
      </c>
      <c r="L2127" s="295"/>
      <c r="M2127" s="28"/>
      <c r="N2127" s="28"/>
      <c r="O2127" s="28"/>
      <c r="P2127" s="28"/>
      <c r="Q2127" s="28"/>
      <c r="R2127" s="28"/>
      <c r="S2127" s="28"/>
      <c r="T2127" s="28"/>
      <c r="U2127" s="28"/>
      <c r="V2127" s="28"/>
      <c r="W2127" s="28"/>
      <c r="X2127" s="28"/>
      <c r="Y2127" s="82">
        <f>SUM(Y2123:Y2126)/4</f>
        <v>100</v>
      </c>
      <c r="Z2127" s="82">
        <f>SUM(Z2123:Z2126)/4</f>
        <v>92.987500000000011</v>
      </c>
      <c r="AA2127" s="82">
        <f>SUM(AA2123:AA2126)</f>
        <v>197116090.59999999</v>
      </c>
      <c r="AB2127" s="82">
        <f>SUM(AB2123:AB2126)/4</f>
        <v>92.987499999999983</v>
      </c>
      <c r="AC2127" s="82">
        <f>SUM(AC2123:AC2126)</f>
        <v>197116090.59999999</v>
      </c>
      <c r="AD2127" s="82">
        <f>SUM(AD2123:AD2126)/4</f>
        <v>92.987499999999983</v>
      </c>
    </row>
    <row r="2128" spans="2:30">
      <c r="B2128" s="66"/>
      <c r="C2128" s="63" t="s">
        <v>1191</v>
      </c>
      <c r="D2128" s="64" t="s">
        <v>1192</v>
      </c>
      <c r="E2128" s="484"/>
      <c r="F2128" s="484"/>
      <c r="G2128" s="472"/>
      <c r="H2128" s="484"/>
      <c r="I2128" s="472"/>
      <c r="J2128" s="65"/>
      <c r="K2128" s="65"/>
      <c r="L2128" s="66"/>
      <c r="M2128" s="63"/>
      <c r="N2128" s="63"/>
      <c r="O2128" s="63"/>
      <c r="P2128" s="63"/>
      <c r="Q2128" s="63"/>
      <c r="R2128" s="63"/>
      <c r="S2128" s="63"/>
      <c r="T2128" s="63"/>
      <c r="U2128" s="63"/>
      <c r="V2128" s="63"/>
      <c r="W2128" s="63"/>
      <c r="X2128" s="63"/>
      <c r="Y2128" s="63"/>
      <c r="Z2128" s="63"/>
      <c r="AA2128" s="63"/>
      <c r="AB2128" s="63"/>
      <c r="AC2128" s="63"/>
      <c r="AD2128" s="63"/>
    </row>
    <row r="2129" spans="2:30">
      <c r="B2129" s="13">
        <v>1</v>
      </c>
      <c r="C2129" s="17" t="s">
        <v>206</v>
      </c>
      <c r="D2129" s="39" t="s">
        <v>28</v>
      </c>
      <c r="E2129" s="204"/>
      <c r="F2129" s="204"/>
      <c r="G2129" s="193"/>
      <c r="H2129" s="204"/>
      <c r="I2129" s="193"/>
      <c r="J2129" s="15">
        <v>17999000</v>
      </c>
      <c r="K2129" s="25">
        <v>51039000</v>
      </c>
      <c r="L2129" s="13"/>
      <c r="M2129" s="17"/>
      <c r="N2129" s="17"/>
      <c r="O2129" s="17"/>
      <c r="P2129" s="17"/>
      <c r="Q2129" s="17"/>
      <c r="R2129" s="17"/>
      <c r="S2129" s="17"/>
      <c r="T2129" s="17"/>
      <c r="U2129" s="17"/>
      <c r="V2129" s="17"/>
      <c r="W2129" s="17"/>
      <c r="X2129" s="17"/>
      <c r="Y2129" s="53">
        <f>AB2129</f>
        <v>89.919841689688269</v>
      </c>
      <c r="Z2129" s="53">
        <f>AD2129</f>
        <v>89.919841689688269</v>
      </c>
      <c r="AA2129" s="22">
        <v>45894188</v>
      </c>
      <c r="AB2129" s="19">
        <f>AA2129/K2129*100</f>
        <v>89.919841689688269</v>
      </c>
      <c r="AC2129" s="22">
        <f>AA2129</f>
        <v>45894188</v>
      </c>
      <c r="AD2129" s="19">
        <f>AC2129/K2129*100</f>
        <v>89.919841689688269</v>
      </c>
    </row>
    <row r="2130" spans="2:30">
      <c r="B2130" s="48">
        <v>2</v>
      </c>
      <c r="C2130" s="17" t="s">
        <v>207</v>
      </c>
      <c r="D2130" s="39" t="s">
        <v>30</v>
      </c>
      <c r="E2130" s="204"/>
      <c r="F2130" s="204"/>
      <c r="G2130" s="193"/>
      <c r="H2130" s="204"/>
      <c r="I2130" s="193"/>
      <c r="J2130" s="15">
        <v>3000000</v>
      </c>
      <c r="K2130" s="25">
        <v>3000000</v>
      </c>
      <c r="L2130" s="13"/>
      <c r="M2130" s="17"/>
      <c r="N2130" s="17"/>
      <c r="O2130" s="17"/>
      <c r="P2130" s="17"/>
      <c r="Q2130" s="17"/>
      <c r="R2130" s="17"/>
      <c r="S2130" s="17"/>
      <c r="T2130" s="17"/>
      <c r="U2130" s="17"/>
      <c r="V2130" s="17"/>
      <c r="W2130" s="17"/>
      <c r="X2130" s="17"/>
      <c r="Y2130" s="53">
        <f>AB2130</f>
        <v>91</v>
      </c>
      <c r="Z2130" s="53">
        <f>AD2130</f>
        <v>91</v>
      </c>
      <c r="AA2130" s="22">
        <v>2730000</v>
      </c>
      <c r="AB2130" s="19">
        <f t="shared" ref="AB2130:AB2133" si="716">AA2130/K2130*100</f>
        <v>91</v>
      </c>
      <c r="AC2130" s="22">
        <f>AA2130</f>
        <v>2730000</v>
      </c>
      <c r="AD2130" s="19">
        <f t="shared" ref="AD2130:AD2133" si="717">AC2130/K2130*100</f>
        <v>91</v>
      </c>
    </row>
    <row r="2131" spans="2:30">
      <c r="B2131" s="13">
        <v>3</v>
      </c>
      <c r="C2131" s="17" t="s">
        <v>208</v>
      </c>
      <c r="D2131" s="39" t="s">
        <v>32</v>
      </c>
      <c r="E2131" s="204"/>
      <c r="F2131" s="204"/>
      <c r="G2131" s="193"/>
      <c r="H2131" s="204"/>
      <c r="I2131" s="193"/>
      <c r="J2131" s="15">
        <v>16457000</v>
      </c>
      <c r="K2131" s="25">
        <v>16131000</v>
      </c>
      <c r="L2131" s="13"/>
      <c r="M2131" s="17"/>
      <c r="N2131" s="17"/>
      <c r="O2131" s="17"/>
      <c r="P2131" s="17"/>
      <c r="Q2131" s="17"/>
      <c r="R2131" s="17"/>
      <c r="S2131" s="17"/>
      <c r="T2131" s="17"/>
      <c r="U2131" s="17"/>
      <c r="V2131" s="17"/>
      <c r="W2131" s="17"/>
      <c r="X2131" s="17"/>
      <c r="Y2131" s="53">
        <f>AB2131</f>
        <v>90.962122621040237</v>
      </c>
      <c r="Z2131" s="53">
        <f>AD2131</f>
        <v>90.962122621040237</v>
      </c>
      <c r="AA2131" s="22">
        <f>5533100+9140000</f>
        <v>14673100</v>
      </c>
      <c r="AB2131" s="19">
        <f t="shared" si="716"/>
        <v>90.962122621040237</v>
      </c>
      <c r="AC2131" s="22">
        <f>AA2131</f>
        <v>14673100</v>
      </c>
      <c r="AD2131" s="19">
        <f t="shared" si="717"/>
        <v>90.962122621040237</v>
      </c>
    </row>
    <row r="2132" spans="2:30">
      <c r="B2132" s="45">
        <v>4</v>
      </c>
      <c r="C2132" s="44" t="s">
        <v>209</v>
      </c>
      <c r="D2132" s="78" t="s">
        <v>34</v>
      </c>
      <c r="E2132" s="489"/>
      <c r="F2132" s="489"/>
      <c r="G2132" s="240"/>
      <c r="H2132" s="489"/>
      <c r="I2132" s="240"/>
      <c r="J2132" s="79">
        <v>31250000</v>
      </c>
      <c r="K2132" s="40">
        <v>46311000</v>
      </c>
      <c r="L2132" s="45"/>
      <c r="M2132" s="44"/>
      <c r="N2132" s="44"/>
      <c r="O2132" s="44"/>
      <c r="P2132" s="44"/>
      <c r="Q2132" s="44"/>
      <c r="R2132" s="44"/>
      <c r="S2132" s="44"/>
      <c r="T2132" s="44"/>
      <c r="U2132" s="44"/>
      <c r="V2132" s="44"/>
      <c r="W2132" s="44"/>
      <c r="X2132" s="44"/>
      <c r="Y2132" s="55">
        <f>AB2132</f>
        <v>94.62114832329253</v>
      </c>
      <c r="Z2132" s="55">
        <f>AD2132</f>
        <v>94.62114832329253</v>
      </c>
      <c r="AA2132" s="73">
        <v>43820000</v>
      </c>
      <c r="AB2132" s="46">
        <f t="shared" si="716"/>
        <v>94.62114832329253</v>
      </c>
      <c r="AC2132" s="73">
        <f>AA2132</f>
        <v>43820000</v>
      </c>
      <c r="AD2132" s="19">
        <f t="shared" si="717"/>
        <v>94.62114832329253</v>
      </c>
    </row>
    <row r="2133" spans="2:30">
      <c r="B2133" s="45">
        <v>5</v>
      </c>
      <c r="C2133" s="670" t="s">
        <v>2351</v>
      </c>
      <c r="D2133" s="17" t="s">
        <v>2347</v>
      </c>
      <c r="E2133" s="507"/>
      <c r="F2133" s="507"/>
      <c r="G2133" s="476"/>
      <c r="H2133" s="507"/>
      <c r="I2133" s="476"/>
      <c r="J2133" s="26"/>
      <c r="K2133" s="352">
        <v>103753000</v>
      </c>
      <c r="L2133" s="32"/>
      <c r="M2133" s="33"/>
      <c r="N2133" s="33"/>
      <c r="O2133" s="33"/>
      <c r="P2133" s="33"/>
      <c r="Q2133" s="33"/>
      <c r="R2133" s="33"/>
      <c r="S2133" s="33"/>
      <c r="T2133" s="33"/>
      <c r="U2133" s="33"/>
      <c r="V2133" s="33"/>
      <c r="W2133" s="33"/>
      <c r="X2133" s="33"/>
      <c r="Y2133" s="55">
        <f>AB2133</f>
        <v>99.954218191281214</v>
      </c>
      <c r="Z2133" s="55">
        <f>AD2133</f>
        <v>99.954218191281214</v>
      </c>
      <c r="AA2133" s="325">
        <v>103705500</v>
      </c>
      <c r="AB2133" s="307">
        <f t="shared" si="716"/>
        <v>99.954218191281214</v>
      </c>
      <c r="AC2133" s="112">
        <f>AA2133</f>
        <v>103705500</v>
      </c>
      <c r="AD2133" s="211">
        <f t="shared" si="717"/>
        <v>99.954218191281214</v>
      </c>
    </row>
    <row r="2134" spans="2:30">
      <c r="B2134" s="37">
        <v>164</v>
      </c>
      <c r="C2134" s="855" t="s">
        <v>1193</v>
      </c>
      <c r="D2134" s="855"/>
      <c r="E2134" s="483"/>
      <c r="F2134" s="483">
        <v>5</v>
      </c>
      <c r="G2134" s="468"/>
      <c r="H2134" s="483"/>
      <c r="I2134" s="468"/>
      <c r="J2134" s="35">
        <f>SUM(J2129:J2132)</f>
        <v>68706000</v>
      </c>
      <c r="K2134" s="35">
        <f>SUM(K2129:K2133)</f>
        <v>220234000</v>
      </c>
      <c r="L2134" s="37"/>
      <c r="M2134" s="38"/>
      <c r="N2134" s="38"/>
      <c r="O2134" s="38"/>
      <c r="P2134" s="38"/>
      <c r="Q2134" s="38"/>
      <c r="R2134" s="38"/>
      <c r="S2134" s="38"/>
      <c r="T2134" s="38"/>
      <c r="U2134" s="38"/>
      <c r="V2134" s="38"/>
      <c r="W2134" s="38"/>
      <c r="X2134" s="38"/>
      <c r="Y2134" s="42">
        <f>SUM(Y2129:Y2133)/5</f>
        <v>93.291466165060442</v>
      </c>
      <c r="Z2134" s="42">
        <f>SUM(Z2129:Z2133)/5</f>
        <v>93.291466165060442</v>
      </c>
      <c r="AA2134" s="67">
        <f>SUM(AA2129:AA2133)</f>
        <v>210822788</v>
      </c>
      <c r="AB2134" s="42">
        <f>SUM(AB2129:AB2133)/5</f>
        <v>93.291466165060442</v>
      </c>
      <c r="AC2134" s="67">
        <f>SUM(AC2129:AC2133)</f>
        <v>210822788</v>
      </c>
      <c r="AD2134" s="42">
        <f>SUM(AD2129:AD2133)/5</f>
        <v>93.291466165060442</v>
      </c>
    </row>
    <row r="2135" spans="2:30">
      <c r="B2135" s="66"/>
      <c r="C2135" s="63" t="s">
        <v>1194</v>
      </c>
      <c r="D2135" s="64" t="s">
        <v>1195</v>
      </c>
      <c r="E2135" s="484"/>
      <c r="F2135" s="484"/>
      <c r="G2135" s="472"/>
      <c r="H2135" s="484"/>
      <c r="I2135" s="472"/>
      <c r="J2135" s="65"/>
      <c r="K2135" s="65"/>
      <c r="L2135" s="66"/>
      <c r="M2135" s="63"/>
      <c r="N2135" s="63"/>
      <c r="O2135" s="63"/>
      <c r="P2135" s="63"/>
      <c r="Q2135" s="63"/>
      <c r="R2135" s="63"/>
      <c r="S2135" s="63"/>
      <c r="T2135" s="63"/>
      <c r="U2135" s="63"/>
      <c r="V2135" s="63"/>
      <c r="W2135" s="63"/>
      <c r="X2135" s="63"/>
      <c r="Y2135" s="63"/>
      <c r="Z2135" s="63"/>
      <c r="AA2135" s="63"/>
      <c r="AB2135" s="63"/>
      <c r="AC2135" s="63"/>
      <c r="AD2135" s="63"/>
    </row>
    <row r="2136" spans="2:30">
      <c r="B2136" s="48">
        <v>1</v>
      </c>
      <c r="C2136" s="17" t="s">
        <v>206</v>
      </c>
      <c r="D2136" s="39" t="s">
        <v>28</v>
      </c>
      <c r="E2136" s="204"/>
      <c r="F2136" s="204"/>
      <c r="G2136" s="193"/>
      <c r="H2136" s="204"/>
      <c r="I2136" s="193"/>
      <c r="J2136" s="15">
        <v>28598000</v>
      </c>
      <c r="K2136" s="99">
        <v>63043000</v>
      </c>
      <c r="L2136" s="13"/>
      <c r="M2136" s="17"/>
      <c r="N2136" s="17"/>
      <c r="O2136" s="17"/>
      <c r="P2136" s="17"/>
      <c r="Q2136" s="17"/>
      <c r="R2136" s="17"/>
      <c r="S2136" s="17"/>
      <c r="T2136" s="17"/>
      <c r="U2136" s="17"/>
      <c r="V2136" s="17"/>
      <c r="W2136" s="17"/>
      <c r="X2136" s="17"/>
      <c r="Y2136" s="53">
        <v>100</v>
      </c>
      <c r="Z2136" s="53">
        <v>100</v>
      </c>
      <c r="AA2136" s="22">
        <v>62539125</v>
      </c>
      <c r="AB2136" s="19">
        <f>AA2136/K2136*100</f>
        <v>99.200743936678137</v>
      </c>
      <c r="AC2136" s="22">
        <f>AA2136</f>
        <v>62539125</v>
      </c>
      <c r="AD2136" s="19">
        <f>AC2136/K2136*100</f>
        <v>99.200743936678137</v>
      </c>
    </row>
    <row r="2137" spans="2:30">
      <c r="B2137" s="13">
        <v>2</v>
      </c>
      <c r="C2137" s="17" t="s">
        <v>207</v>
      </c>
      <c r="D2137" s="39" t="s">
        <v>30</v>
      </c>
      <c r="E2137" s="204"/>
      <c r="F2137" s="204"/>
      <c r="G2137" s="193"/>
      <c r="H2137" s="204"/>
      <c r="I2137" s="193"/>
      <c r="J2137" s="15">
        <v>2400000</v>
      </c>
      <c r="K2137" s="99">
        <v>2100000</v>
      </c>
      <c r="L2137" s="13"/>
      <c r="M2137" s="17"/>
      <c r="N2137" s="17"/>
      <c r="O2137" s="17"/>
      <c r="P2137" s="17"/>
      <c r="Q2137" s="17"/>
      <c r="R2137" s="17"/>
      <c r="S2137" s="17"/>
      <c r="T2137" s="17"/>
      <c r="U2137" s="17"/>
      <c r="V2137" s="17"/>
      <c r="W2137" s="17"/>
      <c r="X2137" s="17"/>
      <c r="Y2137" s="53">
        <v>100</v>
      </c>
      <c r="Z2137" s="53">
        <v>100</v>
      </c>
      <c r="AA2137" s="22">
        <v>2100000</v>
      </c>
      <c r="AB2137" s="19">
        <f t="shared" ref="AB2137:AB2140" si="718">AA2137/K2137*100</f>
        <v>100</v>
      </c>
      <c r="AC2137" s="22">
        <f>AA2137</f>
        <v>2100000</v>
      </c>
      <c r="AD2137" s="19">
        <f t="shared" ref="AD2137:AD2140" si="719">AC2137/K2137*100</f>
        <v>100</v>
      </c>
    </row>
    <row r="2138" spans="2:30">
      <c r="B2138" s="13">
        <v>3</v>
      </c>
      <c r="C2138" s="17" t="s">
        <v>208</v>
      </c>
      <c r="D2138" s="39" t="s">
        <v>32</v>
      </c>
      <c r="E2138" s="204"/>
      <c r="F2138" s="204"/>
      <c r="G2138" s="193"/>
      <c r="H2138" s="204"/>
      <c r="I2138" s="193"/>
      <c r="J2138" s="15">
        <v>9700000</v>
      </c>
      <c r="K2138" s="99">
        <v>10000000</v>
      </c>
      <c r="L2138" s="13"/>
      <c r="M2138" s="17"/>
      <c r="N2138" s="17"/>
      <c r="O2138" s="17"/>
      <c r="P2138" s="17"/>
      <c r="Q2138" s="17"/>
      <c r="R2138" s="17"/>
      <c r="S2138" s="17"/>
      <c r="T2138" s="17"/>
      <c r="U2138" s="17"/>
      <c r="V2138" s="17"/>
      <c r="W2138" s="17"/>
      <c r="X2138" s="17"/>
      <c r="Y2138" s="53">
        <v>100</v>
      </c>
      <c r="Z2138" s="53">
        <v>100</v>
      </c>
      <c r="AA2138" s="22">
        <v>9974000</v>
      </c>
      <c r="AB2138" s="19">
        <f t="shared" si="718"/>
        <v>99.74</v>
      </c>
      <c r="AC2138" s="22">
        <f>AA2138</f>
        <v>9974000</v>
      </c>
      <c r="AD2138" s="19">
        <f t="shared" si="719"/>
        <v>99.74</v>
      </c>
    </row>
    <row r="2139" spans="2:30">
      <c r="B2139" s="45">
        <f>B2138+1</f>
        <v>4</v>
      </c>
      <c r="C2139" s="44" t="s">
        <v>209</v>
      </c>
      <c r="D2139" s="78" t="s">
        <v>34</v>
      </c>
      <c r="E2139" s="489"/>
      <c r="F2139" s="489"/>
      <c r="G2139" s="240"/>
      <c r="H2139" s="489"/>
      <c r="I2139" s="240"/>
      <c r="J2139" s="15">
        <v>31841000</v>
      </c>
      <c r="K2139" s="99">
        <v>31221000</v>
      </c>
      <c r="L2139" s="45"/>
      <c r="M2139" s="44"/>
      <c r="N2139" s="44"/>
      <c r="O2139" s="44"/>
      <c r="P2139" s="44"/>
      <c r="Q2139" s="44"/>
      <c r="R2139" s="44"/>
      <c r="S2139" s="44"/>
      <c r="T2139" s="44"/>
      <c r="U2139" s="44"/>
      <c r="V2139" s="44"/>
      <c r="W2139" s="44"/>
      <c r="X2139" s="44"/>
      <c r="Y2139" s="53">
        <v>100</v>
      </c>
      <c r="Z2139" s="53">
        <v>100</v>
      </c>
      <c r="AA2139" s="73">
        <v>31221000</v>
      </c>
      <c r="AB2139" s="19">
        <f t="shared" si="718"/>
        <v>100</v>
      </c>
      <c r="AC2139" s="73">
        <f>AA2139</f>
        <v>31221000</v>
      </c>
      <c r="AD2139" s="19">
        <f t="shared" si="719"/>
        <v>100</v>
      </c>
    </row>
    <row r="2140" spans="2:30">
      <c r="B2140" s="45">
        <f>B2139+1</f>
        <v>5</v>
      </c>
      <c r="C2140" s="670" t="s">
        <v>2351</v>
      </c>
      <c r="D2140" s="17" t="s">
        <v>2347</v>
      </c>
      <c r="E2140" s="347"/>
      <c r="F2140" s="347"/>
      <c r="G2140" s="498"/>
      <c r="H2140" s="347"/>
      <c r="I2140" s="498"/>
      <c r="J2140" s="598"/>
      <c r="K2140" s="99">
        <v>108754000</v>
      </c>
      <c r="L2140" s="47"/>
      <c r="M2140" s="51"/>
      <c r="N2140" s="51"/>
      <c r="O2140" s="51"/>
      <c r="P2140" s="51"/>
      <c r="Q2140" s="51"/>
      <c r="R2140" s="51"/>
      <c r="S2140" s="51"/>
      <c r="T2140" s="51"/>
      <c r="U2140" s="51"/>
      <c r="V2140" s="51"/>
      <c r="W2140" s="51"/>
      <c r="X2140" s="51"/>
      <c r="Y2140" s="111">
        <v>100</v>
      </c>
      <c r="Z2140" s="111">
        <v>100</v>
      </c>
      <c r="AA2140" s="112">
        <v>108754000</v>
      </c>
      <c r="AB2140" s="19">
        <f t="shared" si="718"/>
        <v>100</v>
      </c>
      <c r="AC2140" s="112">
        <f>AA2140</f>
        <v>108754000</v>
      </c>
      <c r="AD2140" s="19">
        <f t="shared" si="719"/>
        <v>100</v>
      </c>
    </row>
    <row r="2141" spans="2:30">
      <c r="B2141" s="37">
        <v>165</v>
      </c>
      <c r="C2141" s="855" t="s">
        <v>1196</v>
      </c>
      <c r="D2141" s="855"/>
      <c r="E2141" s="483"/>
      <c r="F2141" s="483">
        <v>5</v>
      </c>
      <c r="G2141" s="468"/>
      <c r="H2141" s="483"/>
      <c r="I2141" s="468"/>
      <c r="J2141" s="35">
        <f>SUM(J2136:J2139)</f>
        <v>72539000</v>
      </c>
      <c r="K2141" s="35">
        <f>SUM(K2136:K2140)</f>
        <v>215118000</v>
      </c>
      <c r="L2141" s="37"/>
      <c r="M2141" s="38"/>
      <c r="N2141" s="38"/>
      <c r="O2141" s="38"/>
      <c r="P2141" s="38"/>
      <c r="Q2141" s="38"/>
      <c r="R2141" s="38"/>
      <c r="S2141" s="38"/>
      <c r="T2141" s="38"/>
      <c r="U2141" s="38"/>
      <c r="V2141" s="38"/>
      <c r="W2141" s="38"/>
      <c r="X2141" s="38"/>
      <c r="Y2141" s="42">
        <f>SUM(Y2136:Y2140)/5</f>
        <v>100</v>
      </c>
      <c r="Z2141" s="42">
        <f>SUM(Z2136:Z2140)/5</f>
        <v>100</v>
      </c>
      <c r="AA2141" s="67">
        <f>SUM(AA2136:AA2140)</f>
        <v>214588125</v>
      </c>
      <c r="AB2141" s="42">
        <f>SUM(AB2136:AB2140)/5</f>
        <v>99.788148787335629</v>
      </c>
      <c r="AC2141" s="67">
        <f>SUM(AC2136:AC2140)</f>
        <v>214588125</v>
      </c>
      <c r="AD2141" s="42">
        <f>SUM(AD2136:AD2140)/5</f>
        <v>99.788148787335629</v>
      </c>
    </row>
    <row r="2142" spans="2:30">
      <c r="B2142" s="106"/>
      <c r="C2142" s="63" t="s">
        <v>1197</v>
      </c>
      <c r="D2142" s="64" t="s">
        <v>1198</v>
      </c>
      <c r="E2142" s="484"/>
      <c r="F2142" s="506"/>
      <c r="G2142" s="472"/>
      <c r="H2142" s="506"/>
      <c r="I2142" s="472"/>
      <c r="J2142" s="65"/>
      <c r="K2142" s="65"/>
      <c r="L2142" s="66"/>
      <c r="M2142" s="63"/>
      <c r="N2142" s="63"/>
      <c r="O2142" s="63"/>
      <c r="P2142" s="63"/>
      <c r="Q2142" s="63"/>
      <c r="R2142" s="63"/>
      <c r="S2142" s="63"/>
      <c r="T2142" s="63"/>
      <c r="U2142" s="63"/>
      <c r="V2142" s="63"/>
      <c r="W2142" s="63"/>
      <c r="X2142" s="63"/>
      <c r="Y2142" s="63"/>
      <c r="Z2142" s="63"/>
      <c r="AA2142" s="63"/>
      <c r="AB2142" s="63"/>
      <c r="AC2142" s="63"/>
      <c r="AD2142" s="63"/>
    </row>
    <row r="2143" spans="2:30">
      <c r="B2143" s="13">
        <v>1</v>
      </c>
      <c r="C2143" s="74" t="s">
        <v>203</v>
      </c>
      <c r="D2143" s="74" t="s">
        <v>28</v>
      </c>
      <c r="E2143" s="204"/>
      <c r="F2143" s="204"/>
      <c r="G2143" s="193"/>
      <c r="H2143" s="89"/>
      <c r="I2143" s="89"/>
      <c r="J2143" s="15">
        <v>21648000</v>
      </c>
      <c r="K2143" s="99">
        <v>64558000</v>
      </c>
      <c r="L2143" s="13"/>
      <c r="M2143" s="17"/>
      <c r="N2143" s="17"/>
      <c r="O2143" s="158"/>
      <c r="P2143" s="17"/>
      <c r="Q2143" s="17"/>
      <c r="R2143" s="17"/>
      <c r="S2143" s="17"/>
      <c r="T2143" s="17"/>
      <c r="U2143" s="17"/>
      <c r="V2143" s="17"/>
      <c r="W2143" s="17"/>
      <c r="X2143" s="17"/>
      <c r="Y2143" s="101">
        <f>AB2143</f>
        <v>93.752848601257782</v>
      </c>
      <c r="Z2143" s="101">
        <f>AD2143</f>
        <v>93.752848601257782</v>
      </c>
      <c r="AA2143" s="20">
        <f>6996000+44121000+1875000+7532964</f>
        <v>60524964</v>
      </c>
      <c r="AB2143" s="98">
        <f>AA2143/K2143*100</f>
        <v>93.752848601257782</v>
      </c>
      <c r="AC2143" s="20">
        <f>AA2143</f>
        <v>60524964</v>
      </c>
      <c r="AD2143" s="98">
        <f>AC2143/K2143*100</f>
        <v>93.752848601257782</v>
      </c>
    </row>
    <row r="2144" spans="2:30">
      <c r="B2144" s="13">
        <v>2</v>
      </c>
      <c r="C2144" s="74" t="s">
        <v>210</v>
      </c>
      <c r="D2144" s="74" t="s">
        <v>30</v>
      </c>
      <c r="E2144" s="204"/>
      <c r="F2144" s="204"/>
      <c r="G2144" s="193"/>
      <c r="H2144" s="89"/>
      <c r="I2144" s="89"/>
      <c r="J2144" s="15">
        <v>1000000</v>
      </c>
      <c r="K2144" s="99">
        <v>1800000</v>
      </c>
      <c r="L2144" s="13"/>
      <c r="M2144" s="17"/>
      <c r="N2144" s="17"/>
      <c r="O2144" s="17"/>
      <c r="P2144" s="17"/>
      <c r="Q2144" s="17"/>
      <c r="R2144" s="17"/>
      <c r="S2144" s="17"/>
      <c r="T2144" s="17"/>
      <c r="U2144" s="17"/>
      <c r="V2144" s="17"/>
      <c r="W2144" s="17"/>
      <c r="X2144" s="17"/>
      <c r="Y2144" s="100">
        <f>AB2144</f>
        <v>100</v>
      </c>
      <c r="Z2144" s="100">
        <f>AD2144</f>
        <v>100</v>
      </c>
      <c r="AA2144" s="20">
        <v>1800000</v>
      </c>
      <c r="AB2144" s="98">
        <f t="shared" ref="AB2144:AB2147" si="720">AA2144/K2144*100</f>
        <v>100</v>
      </c>
      <c r="AC2144" s="20">
        <f>AA2144</f>
        <v>1800000</v>
      </c>
      <c r="AD2144" s="98">
        <f t="shared" ref="AD2144:AD2147" si="721">AC2144/K2144*100</f>
        <v>100</v>
      </c>
    </row>
    <row r="2145" spans="2:30">
      <c r="B2145" s="13">
        <f>B2144+1</f>
        <v>3</v>
      </c>
      <c r="C2145" s="74" t="s">
        <v>204</v>
      </c>
      <c r="D2145" s="74" t="s">
        <v>32</v>
      </c>
      <c r="E2145" s="204"/>
      <c r="F2145" s="204"/>
      <c r="G2145" s="193"/>
      <c r="H2145" s="89"/>
      <c r="I2145" s="89"/>
      <c r="J2145" s="15">
        <v>15639000</v>
      </c>
      <c r="K2145" s="99">
        <v>18529000</v>
      </c>
      <c r="L2145" s="13"/>
      <c r="M2145" s="17"/>
      <c r="N2145" s="17"/>
      <c r="O2145" s="17"/>
      <c r="P2145" s="17"/>
      <c r="Q2145" s="17"/>
      <c r="R2145" s="17"/>
      <c r="S2145" s="17"/>
      <c r="T2145" s="17"/>
      <c r="U2145" s="17"/>
      <c r="V2145" s="17"/>
      <c r="W2145" s="17"/>
      <c r="X2145" s="17"/>
      <c r="Y2145" s="100">
        <f>AB2145</f>
        <v>100</v>
      </c>
      <c r="Z2145" s="100">
        <f>AD2145</f>
        <v>100</v>
      </c>
      <c r="AA2145" s="20">
        <v>18529000</v>
      </c>
      <c r="AB2145" s="98">
        <f t="shared" si="720"/>
        <v>100</v>
      </c>
      <c r="AC2145" s="20">
        <f>AA2145</f>
        <v>18529000</v>
      </c>
      <c r="AD2145" s="98">
        <f t="shared" si="721"/>
        <v>100</v>
      </c>
    </row>
    <row r="2146" spans="2:30">
      <c r="B2146" s="45">
        <f>B2145+1</f>
        <v>4</v>
      </c>
      <c r="C2146" s="93" t="s">
        <v>205</v>
      </c>
      <c r="D2146" s="93" t="s">
        <v>34</v>
      </c>
      <c r="E2146" s="489"/>
      <c r="F2146" s="489"/>
      <c r="G2146" s="240"/>
      <c r="H2146" s="186"/>
      <c r="I2146" s="186"/>
      <c r="J2146" s="15">
        <v>27400000</v>
      </c>
      <c r="K2146" s="99">
        <v>23400000</v>
      </c>
      <c r="L2146" s="45"/>
      <c r="M2146" s="44"/>
      <c r="N2146" s="44"/>
      <c r="O2146" s="44"/>
      <c r="P2146" s="44"/>
      <c r="Q2146" s="44"/>
      <c r="R2146" s="44"/>
      <c r="S2146" s="44"/>
      <c r="T2146" s="44"/>
      <c r="U2146" s="44"/>
      <c r="V2146" s="44"/>
      <c r="W2146" s="44"/>
      <c r="X2146" s="44"/>
      <c r="Y2146" s="100">
        <f>AB2146</f>
        <v>100</v>
      </c>
      <c r="Z2146" s="101">
        <f>AD2146</f>
        <v>100</v>
      </c>
      <c r="AA2146" s="100">
        <v>23400000</v>
      </c>
      <c r="AB2146" s="98">
        <f t="shared" si="720"/>
        <v>100</v>
      </c>
      <c r="AC2146" s="100">
        <f>AA2146</f>
        <v>23400000</v>
      </c>
      <c r="AD2146" s="98">
        <f t="shared" si="721"/>
        <v>100</v>
      </c>
    </row>
    <row r="2147" spans="2:30">
      <c r="B2147" s="45">
        <f>B2146+1</f>
        <v>5</v>
      </c>
      <c r="C2147" s="670" t="s">
        <v>2351</v>
      </c>
      <c r="D2147" s="17" t="s">
        <v>2347</v>
      </c>
      <c r="E2147" s="347"/>
      <c r="F2147" s="347"/>
      <c r="G2147" s="498"/>
      <c r="H2147" s="105"/>
      <c r="I2147" s="105"/>
      <c r="J2147" s="598"/>
      <c r="K2147" s="99">
        <v>116954000</v>
      </c>
      <c r="L2147" s="47"/>
      <c r="M2147" s="51"/>
      <c r="N2147" s="51"/>
      <c r="O2147" s="51"/>
      <c r="P2147" s="51"/>
      <c r="Q2147" s="51"/>
      <c r="R2147" s="51"/>
      <c r="S2147" s="51"/>
      <c r="T2147" s="51"/>
      <c r="U2147" s="51"/>
      <c r="V2147" s="51"/>
      <c r="W2147" s="51"/>
      <c r="X2147" s="51"/>
      <c r="Y2147" s="100">
        <f>AB2147</f>
        <v>100</v>
      </c>
      <c r="Z2147" s="101">
        <f>AD2147</f>
        <v>100</v>
      </c>
      <c r="AA2147" s="239">
        <v>116954000</v>
      </c>
      <c r="AB2147" s="98">
        <f t="shared" si="720"/>
        <v>100</v>
      </c>
      <c r="AC2147" s="100">
        <f>AA2147</f>
        <v>116954000</v>
      </c>
      <c r="AD2147" s="98">
        <f t="shared" si="721"/>
        <v>100</v>
      </c>
    </row>
    <row r="2148" spans="2:30">
      <c r="B2148" s="37">
        <v>166</v>
      </c>
      <c r="C2148" s="855" t="s">
        <v>1199</v>
      </c>
      <c r="D2148" s="855"/>
      <c r="E2148" s="483"/>
      <c r="F2148" s="483">
        <v>5</v>
      </c>
      <c r="G2148" s="468"/>
      <c r="H2148" s="483"/>
      <c r="I2148" s="468"/>
      <c r="J2148" s="35">
        <f>SUM(J2143:J2146)</f>
        <v>65687000</v>
      </c>
      <c r="K2148" s="35">
        <f>SUM(K2143:K2147)</f>
        <v>225241000</v>
      </c>
      <c r="L2148" s="37"/>
      <c r="M2148" s="38"/>
      <c r="N2148" s="38"/>
      <c r="O2148" s="38"/>
      <c r="P2148" s="38"/>
      <c r="Q2148" s="38"/>
      <c r="R2148" s="38"/>
      <c r="S2148" s="38"/>
      <c r="T2148" s="38"/>
      <c r="U2148" s="38"/>
      <c r="V2148" s="38"/>
      <c r="W2148" s="38"/>
      <c r="X2148" s="38"/>
      <c r="Y2148" s="42">
        <f>SUM(Y2143:Y2147)/5</f>
        <v>98.750569720251548</v>
      </c>
      <c r="Z2148" s="42">
        <f>SUM(Z2143:Z2147)/5</f>
        <v>98.750569720251548</v>
      </c>
      <c r="AA2148" s="68">
        <f>SUM(AA2143:AA2147)</f>
        <v>221207964</v>
      </c>
      <c r="AB2148" s="42">
        <f>SUM(AB2143:AB2146)/5</f>
        <v>78.750569720251548</v>
      </c>
      <c r="AC2148" s="68">
        <f>SUM(AC2143:AC2147)</f>
        <v>221207964</v>
      </c>
      <c r="AD2148" s="42">
        <f>SUM(AD2143:AD2146)/5</f>
        <v>78.750569720251548</v>
      </c>
    </row>
    <row r="2149" spans="2:30">
      <c r="B2149" s="62"/>
      <c r="C2149" s="138" t="s">
        <v>1200</v>
      </c>
      <c r="D2149" s="64" t="s">
        <v>1201</v>
      </c>
      <c r="E2149" s="484"/>
      <c r="F2149" s="484"/>
      <c r="G2149" s="472"/>
      <c r="H2149" s="484"/>
      <c r="I2149" s="472"/>
      <c r="J2149" s="65"/>
      <c r="K2149" s="65"/>
      <c r="L2149" s="66"/>
      <c r="M2149" s="63"/>
      <c r="N2149" s="63"/>
      <c r="O2149" s="63"/>
      <c r="P2149" s="63"/>
      <c r="Q2149" s="63"/>
      <c r="R2149" s="63"/>
      <c r="S2149" s="63"/>
      <c r="T2149" s="63"/>
      <c r="U2149" s="63"/>
      <c r="V2149" s="63"/>
      <c r="W2149" s="63"/>
      <c r="X2149" s="63"/>
      <c r="Y2149" s="63"/>
      <c r="Z2149" s="63"/>
      <c r="AA2149" s="63"/>
      <c r="AB2149" s="63"/>
      <c r="AC2149" s="63"/>
      <c r="AD2149" s="63"/>
    </row>
    <row r="2150" spans="2:30">
      <c r="B2150" s="13">
        <v>1</v>
      </c>
      <c r="C2150" s="17" t="s">
        <v>206</v>
      </c>
      <c r="D2150" s="21" t="s">
        <v>28</v>
      </c>
      <c r="E2150" s="204"/>
      <c r="F2150" s="204"/>
      <c r="G2150" s="193"/>
      <c r="H2150" s="204"/>
      <c r="I2150" s="193"/>
      <c r="J2150" s="15">
        <v>20292000</v>
      </c>
      <c r="K2150" s="99">
        <v>53067000</v>
      </c>
      <c r="L2150" s="13"/>
      <c r="M2150" s="17"/>
      <c r="N2150" s="17"/>
      <c r="O2150" s="17"/>
      <c r="P2150" s="17"/>
      <c r="Q2150" s="17"/>
      <c r="R2150" s="17"/>
      <c r="S2150" s="17"/>
      <c r="T2150" s="17"/>
      <c r="U2150" s="17"/>
      <c r="V2150" s="17"/>
      <c r="W2150" s="17"/>
      <c r="X2150" s="17"/>
      <c r="Y2150" s="53">
        <f>AB2150</f>
        <v>98.77838769856973</v>
      </c>
      <c r="Z2150" s="53">
        <f>AD2150</f>
        <v>98.77838769856973</v>
      </c>
      <c r="AA2150" s="22">
        <v>52418727</v>
      </c>
      <c r="AB2150" s="19">
        <f>AA2150/K2150*100</f>
        <v>98.77838769856973</v>
      </c>
      <c r="AC2150" s="22">
        <f>AA2150</f>
        <v>52418727</v>
      </c>
      <c r="AD2150" s="19">
        <f>AC2150/K2150*100</f>
        <v>98.77838769856973</v>
      </c>
    </row>
    <row r="2151" spans="2:30">
      <c r="B2151" s="13">
        <v>2</v>
      </c>
      <c r="C2151" s="50" t="s">
        <v>208</v>
      </c>
      <c r="D2151" s="21" t="s">
        <v>32</v>
      </c>
      <c r="E2151" s="204"/>
      <c r="F2151" s="204"/>
      <c r="G2151" s="193"/>
      <c r="H2151" s="204"/>
      <c r="I2151" s="193"/>
      <c r="J2151" s="15">
        <v>36725000</v>
      </c>
      <c r="K2151" s="99">
        <v>36725000</v>
      </c>
      <c r="L2151" s="13"/>
      <c r="M2151" s="17"/>
      <c r="N2151" s="17"/>
      <c r="O2151" s="17"/>
      <c r="P2151" s="17"/>
      <c r="Q2151" s="17"/>
      <c r="R2151" s="17"/>
      <c r="S2151" s="17"/>
      <c r="T2151" s="17"/>
      <c r="U2151" s="17"/>
      <c r="V2151" s="17"/>
      <c r="W2151" s="17"/>
      <c r="X2151" s="17"/>
      <c r="Y2151" s="53">
        <f t="shared" ref="Y2151:Y2152" si="722">AB2151</f>
        <v>99.81007488087134</v>
      </c>
      <c r="Z2151" s="53">
        <f t="shared" ref="Z2151:Z2152" si="723">AD2151</f>
        <v>99.81007488087134</v>
      </c>
      <c r="AA2151" s="22">
        <v>36655250</v>
      </c>
      <c r="AB2151" s="19">
        <f t="shared" ref="AB2151:AB2153" si="724">AA2151/K2151*100</f>
        <v>99.81007488087134</v>
      </c>
      <c r="AC2151" s="22">
        <f>AA2151</f>
        <v>36655250</v>
      </c>
      <c r="AD2151" s="19">
        <f t="shared" ref="AD2151:AD2153" si="725">AC2151/K2151*100</f>
        <v>99.81007488087134</v>
      </c>
    </row>
    <row r="2152" spans="2:30">
      <c r="B2152" s="45">
        <f>B2151+1</f>
        <v>3</v>
      </c>
      <c r="C2152" s="50" t="s">
        <v>209</v>
      </c>
      <c r="D2152" s="21" t="s">
        <v>34</v>
      </c>
      <c r="E2152" s="489"/>
      <c r="F2152" s="204"/>
      <c r="G2152" s="193"/>
      <c r="H2152" s="204"/>
      <c r="I2152" s="193"/>
      <c r="J2152" s="15">
        <v>10000000</v>
      </c>
      <c r="K2152" s="99">
        <v>10000000</v>
      </c>
      <c r="L2152" s="45"/>
      <c r="M2152" s="44"/>
      <c r="N2152" s="44"/>
      <c r="O2152" s="44"/>
      <c r="P2152" s="44"/>
      <c r="Q2152" s="44"/>
      <c r="R2152" s="44"/>
      <c r="S2152" s="44"/>
      <c r="T2152" s="44"/>
      <c r="U2152" s="44"/>
      <c r="V2152" s="44"/>
      <c r="W2152" s="44"/>
      <c r="X2152" s="44"/>
      <c r="Y2152" s="53">
        <f t="shared" si="722"/>
        <v>100</v>
      </c>
      <c r="Z2152" s="53">
        <f t="shared" si="723"/>
        <v>100</v>
      </c>
      <c r="AA2152" s="73">
        <v>10000000</v>
      </c>
      <c r="AB2152" s="19">
        <f t="shared" si="724"/>
        <v>100</v>
      </c>
      <c r="AC2152" s="73">
        <f>AA2152</f>
        <v>10000000</v>
      </c>
      <c r="AD2152" s="19">
        <f t="shared" si="725"/>
        <v>100</v>
      </c>
    </row>
    <row r="2153" spans="2:30">
      <c r="B2153" s="45">
        <f>B2152+1</f>
        <v>4</v>
      </c>
      <c r="C2153" s="670">
        <v>23.03</v>
      </c>
      <c r="D2153" s="671" t="s">
        <v>2105</v>
      </c>
      <c r="E2153" s="347"/>
      <c r="F2153" s="347"/>
      <c r="G2153" s="498"/>
      <c r="H2153" s="347"/>
      <c r="I2153" s="498"/>
      <c r="J2153" s="598"/>
      <c r="K2153" s="99">
        <v>110246000</v>
      </c>
      <c r="L2153" s="47"/>
      <c r="M2153" s="51"/>
      <c r="N2153" s="51"/>
      <c r="O2153" s="51"/>
      <c r="P2153" s="51"/>
      <c r="Q2153" s="51"/>
      <c r="R2153" s="51"/>
      <c r="S2153" s="51"/>
      <c r="T2153" s="51"/>
      <c r="U2153" s="51"/>
      <c r="V2153" s="51"/>
      <c r="W2153" s="51"/>
      <c r="X2153" s="51"/>
      <c r="Y2153" s="53">
        <f t="shared" ref="Y2153" si="726">AB2153</f>
        <v>99.932423852112549</v>
      </c>
      <c r="Z2153" s="53">
        <f t="shared" ref="Z2153" si="727">AD2153</f>
        <v>99.932423852112549</v>
      </c>
      <c r="AA2153" s="112">
        <v>110171500</v>
      </c>
      <c r="AB2153" s="19">
        <f t="shared" si="724"/>
        <v>99.932423852112549</v>
      </c>
      <c r="AC2153" s="73">
        <f>AA2153</f>
        <v>110171500</v>
      </c>
      <c r="AD2153" s="19">
        <f t="shared" si="725"/>
        <v>99.932423852112549</v>
      </c>
    </row>
    <row r="2154" spans="2:30">
      <c r="B2154" s="37">
        <v>167</v>
      </c>
      <c r="C2154" s="855" t="s">
        <v>1202</v>
      </c>
      <c r="D2154" s="855"/>
      <c r="E2154" s="483"/>
      <c r="F2154" s="483">
        <v>4</v>
      </c>
      <c r="G2154" s="468"/>
      <c r="H2154" s="483"/>
      <c r="I2154" s="468"/>
      <c r="J2154" s="35">
        <f>SUM(J2150:J2152)</f>
        <v>67017000</v>
      </c>
      <c r="K2154" s="35">
        <f>SUM(K2150:K2153)</f>
        <v>210038000</v>
      </c>
      <c r="L2154" s="37"/>
      <c r="M2154" s="38"/>
      <c r="N2154" s="38"/>
      <c r="O2154" s="38"/>
      <c r="P2154" s="38"/>
      <c r="Q2154" s="38"/>
      <c r="R2154" s="38"/>
      <c r="S2154" s="38"/>
      <c r="T2154" s="38"/>
      <c r="U2154" s="38"/>
      <c r="V2154" s="38"/>
      <c r="W2154" s="38"/>
      <c r="X2154" s="38"/>
      <c r="Y2154" s="42">
        <f>SUM(Y2150:Y2153)/4</f>
        <v>99.630221607888402</v>
      </c>
      <c r="Z2154" s="42">
        <f>SUM(Z2150:Z2153)/4</f>
        <v>99.630221607888402</v>
      </c>
      <c r="AA2154" s="68">
        <f>SUM(AA2150:AA2153)</f>
        <v>209245477</v>
      </c>
      <c r="AB2154" s="42">
        <f>SUM(AB2150:AB2153)/4</f>
        <v>99.630221607888402</v>
      </c>
      <c r="AC2154" s="68">
        <f>SUM(AC2150:AC2152)</f>
        <v>99073977</v>
      </c>
      <c r="AD2154" s="42">
        <f>SUM(AD2150:AD2153)/4</f>
        <v>99.630221607888402</v>
      </c>
    </row>
    <row r="2155" spans="2:30">
      <c r="B2155" s="62"/>
      <c r="C2155" s="63" t="s">
        <v>1200</v>
      </c>
      <c r="D2155" s="64" t="s">
        <v>1203</v>
      </c>
      <c r="E2155" s="484"/>
      <c r="F2155" s="484"/>
      <c r="G2155" s="472"/>
      <c r="H2155" s="484"/>
      <c r="I2155" s="472"/>
      <c r="J2155" s="65"/>
      <c r="K2155" s="65"/>
      <c r="L2155" s="66"/>
      <c r="M2155" s="63"/>
      <c r="N2155" s="63"/>
      <c r="O2155" s="63"/>
      <c r="P2155" s="63"/>
      <c r="Q2155" s="63"/>
      <c r="R2155" s="63"/>
      <c r="S2155" s="63"/>
      <c r="T2155" s="63"/>
      <c r="U2155" s="63"/>
      <c r="V2155" s="63"/>
      <c r="W2155" s="63"/>
      <c r="X2155" s="63"/>
      <c r="Y2155" s="63"/>
      <c r="Z2155" s="63"/>
      <c r="AA2155" s="63"/>
      <c r="AB2155" s="63"/>
      <c r="AC2155" s="63"/>
      <c r="AD2155" s="63"/>
    </row>
    <row r="2156" spans="2:30" ht="27">
      <c r="B2156" s="48"/>
      <c r="C2156" s="86" t="s">
        <v>942</v>
      </c>
      <c r="D2156" s="86" t="s">
        <v>26</v>
      </c>
      <c r="E2156" s="485"/>
      <c r="F2156" s="485"/>
      <c r="G2156" s="441"/>
      <c r="H2156" s="87"/>
      <c r="I2156" s="87"/>
      <c r="J2156" s="88"/>
      <c r="K2156" s="88"/>
      <c r="L2156" s="13"/>
      <c r="M2156" s="17"/>
      <c r="N2156" s="17"/>
      <c r="O2156" s="17"/>
      <c r="P2156" s="17"/>
      <c r="Q2156" s="17"/>
      <c r="R2156" s="17"/>
      <c r="S2156" s="17"/>
      <c r="T2156" s="17"/>
      <c r="U2156" s="17"/>
      <c r="V2156" s="17"/>
      <c r="W2156" s="17"/>
      <c r="X2156" s="17"/>
      <c r="Y2156" s="17"/>
      <c r="Z2156" s="17"/>
      <c r="AA2156" s="17"/>
      <c r="AB2156" s="17"/>
      <c r="AC2156" s="17"/>
      <c r="AD2156" s="17"/>
    </row>
    <row r="2157" spans="2:30">
      <c r="B2157" s="48">
        <v>1</v>
      </c>
      <c r="C2157" s="74" t="s">
        <v>203</v>
      </c>
      <c r="D2157" s="74" t="s">
        <v>28</v>
      </c>
      <c r="E2157" s="204"/>
      <c r="F2157" s="204"/>
      <c r="G2157" s="193"/>
      <c r="H2157" s="89"/>
      <c r="I2157" s="89"/>
      <c r="J2157" s="15">
        <v>269994000</v>
      </c>
      <c r="K2157" s="99">
        <v>443289000</v>
      </c>
      <c r="L2157" s="13"/>
      <c r="M2157" s="17"/>
      <c r="N2157" s="17"/>
      <c r="O2157" s="17"/>
      <c r="P2157" s="17"/>
      <c r="Q2157" s="17"/>
      <c r="R2157" s="17"/>
      <c r="S2157" s="17"/>
      <c r="T2157" s="17"/>
      <c r="U2157" s="17"/>
      <c r="V2157" s="17"/>
      <c r="W2157" s="17"/>
      <c r="X2157" s="17"/>
      <c r="Y2157" s="17">
        <v>100</v>
      </c>
      <c r="Z2157" s="98">
        <v>100</v>
      </c>
      <c r="AA2157" s="22">
        <v>293446593</v>
      </c>
      <c r="AB2157" s="98">
        <f>AA2157/K2157*100</f>
        <v>66.197580585126175</v>
      </c>
      <c r="AC2157" s="252">
        <v>295134093</v>
      </c>
      <c r="AD2157" s="98">
        <f>AC2157/K2157*100</f>
        <v>66.578257750587085</v>
      </c>
    </row>
    <row r="2158" spans="2:30">
      <c r="B2158" s="57">
        <f>B2157+1</f>
        <v>2</v>
      </c>
      <c r="C2158" s="74" t="s">
        <v>210</v>
      </c>
      <c r="D2158" s="74" t="s">
        <v>30</v>
      </c>
      <c r="E2158" s="204"/>
      <c r="F2158" s="204"/>
      <c r="G2158" s="193"/>
      <c r="H2158" s="89"/>
      <c r="I2158" s="89"/>
      <c r="J2158" s="15">
        <v>125940000</v>
      </c>
      <c r="K2158" s="99">
        <v>130940000</v>
      </c>
      <c r="L2158" s="13"/>
      <c r="M2158" s="17"/>
      <c r="N2158" s="17"/>
      <c r="O2158" s="17"/>
      <c r="P2158" s="17"/>
      <c r="Q2158" s="17"/>
      <c r="R2158" s="17"/>
      <c r="S2158" s="17"/>
      <c r="T2158" s="17"/>
      <c r="U2158" s="17"/>
      <c r="V2158" s="17"/>
      <c r="W2158" s="17"/>
      <c r="X2158" s="17"/>
      <c r="Y2158" s="17">
        <v>100</v>
      </c>
      <c r="Z2158" s="98">
        <v>100</v>
      </c>
      <c r="AA2158" s="22">
        <v>129718427</v>
      </c>
      <c r="AB2158" s="98">
        <f t="shared" ref="AB2158:AB2189" si="728">AA2158/K2158*100</f>
        <v>99.067074232472891</v>
      </c>
      <c r="AC2158" s="252">
        <v>129718427</v>
      </c>
      <c r="AD2158" s="98">
        <f t="shared" ref="AD2158:AD2189" si="729">AC2158/K2158*100</f>
        <v>99.067074232472891</v>
      </c>
    </row>
    <row r="2159" spans="2:30">
      <c r="B2159" s="57">
        <f t="shared" ref="B2159:B2189" si="730">B2158+1</f>
        <v>3</v>
      </c>
      <c r="C2159" s="74" t="s">
        <v>204</v>
      </c>
      <c r="D2159" s="74" t="s">
        <v>32</v>
      </c>
      <c r="E2159" s="204"/>
      <c r="F2159" s="204"/>
      <c r="G2159" s="193"/>
      <c r="H2159" s="89"/>
      <c r="I2159" s="89"/>
      <c r="J2159" s="15">
        <v>238112000</v>
      </c>
      <c r="K2159" s="99">
        <v>275764000</v>
      </c>
      <c r="L2159" s="13"/>
      <c r="M2159" s="17"/>
      <c r="N2159" s="17"/>
      <c r="O2159" s="17"/>
      <c r="P2159" s="17"/>
      <c r="Q2159" s="17"/>
      <c r="R2159" s="17"/>
      <c r="S2159" s="17"/>
      <c r="T2159" s="17"/>
      <c r="U2159" s="17"/>
      <c r="V2159" s="17"/>
      <c r="W2159" s="17"/>
      <c r="X2159" s="17"/>
      <c r="Y2159" s="17">
        <v>100</v>
      </c>
      <c r="Z2159" s="98">
        <v>100</v>
      </c>
      <c r="AA2159" s="22">
        <v>207951190</v>
      </c>
      <c r="AB2159" s="98">
        <f t="shared" si="728"/>
        <v>75.409114315139036</v>
      </c>
      <c r="AC2159" s="252">
        <v>207951190</v>
      </c>
      <c r="AD2159" s="98">
        <f t="shared" si="729"/>
        <v>75.409114315139036</v>
      </c>
    </row>
    <row r="2160" spans="2:30">
      <c r="B2160" s="57">
        <f t="shared" si="730"/>
        <v>4</v>
      </c>
      <c r="C2160" s="74" t="s">
        <v>205</v>
      </c>
      <c r="D2160" s="74" t="s">
        <v>34</v>
      </c>
      <c r="E2160" s="204"/>
      <c r="F2160" s="204"/>
      <c r="G2160" s="193"/>
      <c r="H2160" s="89"/>
      <c r="I2160" s="89"/>
      <c r="J2160" s="15">
        <v>104300000</v>
      </c>
      <c r="K2160" s="99">
        <v>161740000</v>
      </c>
      <c r="L2160" s="13"/>
      <c r="M2160" s="17"/>
      <c r="N2160" s="17"/>
      <c r="O2160" s="17"/>
      <c r="P2160" s="17"/>
      <c r="Q2160" s="17"/>
      <c r="R2160" s="17"/>
      <c r="S2160" s="17"/>
      <c r="T2160" s="17"/>
      <c r="U2160" s="17"/>
      <c r="V2160" s="17"/>
      <c r="W2160" s="17"/>
      <c r="X2160" s="17"/>
      <c r="Y2160" s="17">
        <v>100</v>
      </c>
      <c r="Z2160" s="98">
        <v>100</v>
      </c>
      <c r="AA2160" s="22">
        <v>161610000</v>
      </c>
      <c r="AB2160" s="98">
        <f t="shared" si="728"/>
        <v>99.919624088042539</v>
      </c>
      <c r="AC2160" s="252">
        <v>161610000</v>
      </c>
      <c r="AD2160" s="98">
        <f t="shared" si="729"/>
        <v>99.919624088042539</v>
      </c>
    </row>
    <row r="2161" spans="2:30" ht="25.5">
      <c r="B2161" s="57">
        <f>B2160+1</f>
        <v>5</v>
      </c>
      <c r="C2161" s="74" t="s">
        <v>216</v>
      </c>
      <c r="D2161" s="21" t="s">
        <v>38</v>
      </c>
      <c r="E2161" s="204"/>
      <c r="F2161" s="204"/>
      <c r="G2161" s="193"/>
      <c r="H2161" s="89"/>
      <c r="I2161" s="89"/>
      <c r="J2161" s="15">
        <v>13550000</v>
      </c>
      <c r="K2161" s="99">
        <v>7672000</v>
      </c>
      <c r="L2161" s="13"/>
      <c r="M2161" s="17" t="s">
        <v>1</v>
      </c>
      <c r="N2161" s="17"/>
      <c r="O2161" s="17"/>
      <c r="P2161" s="17"/>
      <c r="Q2161" s="17"/>
      <c r="R2161" s="17"/>
      <c r="S2161" s="17"/>
      <c r="T2161" s="17"/>
      <c r="U2161" s="17"/>
      <c r="V2161" s="17"/>
      <c r="W2161" s="17"/>
      <c r="X2161" s="17"/>
      <c r="Y2161" s="17">
        <v>100</v>
      </c>
      <c r="Z2161" s="20">
        <v>100</v>
      </c>
      <c r="AA2161" s="22">
        <v>6081500</v>
      </c>
      <c r="AB2161" s="98">
        <f t="shared" si="728"/>
        <v>79.268769551616273</v>
      </c>
      <c r="AC2161" s="252">
        <v>6081500</v>
      </c>
      <c r="AD2161" s="98">
        <f t="shared" si="729"/>
        <v>79.268769551616273</v>
      </c>
    </row>
    <row r="2162" spans="2:30">
      <c r="B2162" s="57">
        <f t="shared" si="730"/>
        <v>6</v>
      </c>
      <c r="C2162" s="123" t="s">
        <v>1204</v>
      </c>
      <c r="D2162" s="21" t="s">
        <v>1205</v>
      </c>
      <c r="E2162" s="204"/>
      <c r="F2162" s="204"/>
      <c r="G2162" s="193"/>
      <c r="H2162" s="89"/>
      <c r="I2162" s="89"/>
      <c r="J2162" s="15">
        <v>15800000</v>
      </c>
      <c r="K2162" s="99">
        <v>15340000</v>
      </c>
      <c r="L2162" s="13"/>
      <c r="M2162" s="17"/>
      <c r="N2162" s="17"/>
      <c r="O2162" s="17"/>
      <c r="P2162" s="17"/>
      <c r="Q2162" s="17"/>
      <c r="R2162" s="17"/>
      <c r="S2162" s="17"/>
      <c r="T2162" s="17"/>
      <c r="U2162" s="17"/>
      <c r="V2162" s="17"/>
      <c r="W2162" s="17"/>
      <c r="X2162" s="17"/>
      <c r="Y2162" s="19">
        <v>100</v>
      </c>
      <c r="Z2162" s="19">
        <v>100</v>
      </c>
      <c r="AA2162" s="22">
        <v>13759000</v>
      </c>
      <c r="AB2162" s="98">
        <f t="shared" si="728"/>
        <v>89.693611473272497</v>
      </c>
      <c r="AC2162" s="252">
        <v>13759000</v>
      </c>
      <c r="AD2162" s="98">
        <f t="shared" si="729"/>
        <v>89.693611473272497</v>
      </c>
    </row>
    <row r="2163" spans="2:30">
      <c r="B2163" s="57">
        <f t="shared" si="730"/>
        <v>7</v>
      </c>
      <c r="C2163" s="123" t="s">
        <v>1206</v>
      </c>
      <c r="D2163" s="21" t="s">
        <v>1207</v>
      </c>
      <c r="E2163" s="204"/>
      <c r="F2163" s="204"/>
      <c r="G2163" s="193"/>
      <c r="H2163" s="89"/>
      <c r="I2163" s="89"/>
      <c r="J2163" s="15">
        <v>17914000</v>
      </c>
      <c r="K2163" s="99">
        <v>19279000</v>
      </c>
      <c r="L2163" s="13"/>
      <c r="M2163" s="17"/>
      <c r="N2163" s="17"/>
      <c r="O2163" s="17"/>
      <c r="P2163" s="17"/>
      <c r="Q2163" s="17"/>
      <c r="R2163" s="17"/>
      <c r="S2163" s="17"/>
      <c r="T2163" s="17"/>
      <c r="U2163" s="17"/>
      <c r="V2163" s="17"/>
      <c r="W2163" s="17"/>
      <c r="X2163" s="17"/>
      <c r="Y2163" s="19">
        <v>100</v>
      </c>
      <c r="Z2163" s="19">
        <v>100</v>
      </c>
      <c r="AA2163" s="22">
        <v>18983350</v>
      </c>
      <c r="AB2163" s="98">
        <f t="shared" si="728"/>
        <v>98.466466103013644</v>
      </c>
      <c r="AC2163" s="252">
        <v>18983350</v>
      </c>
      <c r="AD2163" s="98">
        <f t="shared" si="729"/>
        <v>98.466466103013644</v>
      </c>
    </row>
    <row r="2164" spans="2:30">
      <c r="B2164" s="57">
        <f t="shared" si="730"/>
        <v>8</v>
      </c>
      <c r="C2164" s="123" t="s">
        <v>1208</v>
      </c>
      <c r="D2164" s="21" t="s">
        <v>1209</v>
      </c>
      <c r="E2164" s="204"/>
      <c r="F2164" s="204"/>
      <c r="G2164" s="193"/>
      <c r="H2164" s="89"/>
      <c r="I2164" s="89"/>
      <c r="J2164" s="15">
        <v>33972000</v>
      </c>
      <c r="K2164" s="99">
        <v>0</v>
      </c>
      <c r="L2164" s="13"/>
      <c r="M2164" s="17"/>
      <c r="N2164" s="17"/>
      <c r="O2164" s="17"/>
      <c r="P2164" s="17"/>
      <c r="Q2164" s="17"/>
      <c r="R2164" s="17"/>
      <c r="S2164" s="17"/>
      <c r="T2164" s="17"/>
      <c r="U2164" s="17"/>
      <c r="V2164" s="17"/>
      <c r="W2164" s="17"/>
      <c r="X2164" s="17"/>
      <c r="Y2164" s="19"/>
      <c r="Z2164" s="19"/>
      <c r="AA2164" s="22"/>
      <c r="AB2164" s="98"/>
      <c r="AC2164" s="252"/>
      <c r="AD2164" s="98"/>
    </row>
    <row r="2165" spans="2:30" ht="27">
      <c r="B2165" s="57"/>
      <c r="C2165" s="86" t="s">
        <v>1102</v>
      </c>
      <c r="D2165" s="86" t="s">
        <v>1210</v>
      </c>
      <c r="E2165" s="204"/>
      <c r="F2165" s="204"/>
      <c r="G2165" s="193"/>
      <c r="H2165" s="89"/>
      <c r="I2165" s="89"/>
      <c r="J2165" s="15"/>
      <c r="K2165" s="15"/>
      <c r="L2165" s="13"/>
      <c r="M2165" s="17"/>
      <c r="N2165" s="17"/>
      <c r="O2165" s="17"/>
      <c r="P2165" s="17"/>
      <c r="Q2165" s="17"/>
      <c r="R2165" s="17"/>
      <c r="S2165" s="17"/>
      <c r="T2165" s="17"/>
      <c r="U2165" s="17"/>
      <c r="V2165" s="17"/>
      <c r="W2165" s="17"/>
      <c r="X2165" s="17"/>
      <c r="Y2165" s="19"/>
      <c r="Z2165" s="19"/>
      <c r="AA2165" s="22"/>
      <c r="AB2165" s="98"/>
      <c r="AC2165" s="252"/>
      <c r="AD2165" s="98"/>
    </row>
    <row r="2166" spans="2:30">
      <c r="B2166" s="57">
        <f>B2164+1</f>
        <v>9</v>
      </c>
      <c r="C2166" s="123" t="s">
        <v>1211</v>
      </c>
      <c r="D2166" s="49" t="s">
        <v>1212</v>
      </c>
      <c r="E2166" s="204"/>
      <c r="F2166" s="204"/>
      <c r="G2166" s="193"/>
      <c r="H2166" s="89"/>
      <c r="I2166" s="89"/>
      <c r="J2166" s="15">
        <v>1380169000</v>
      </c>
      <c r="K2166" s="99">
        <v>1386519000</v>
      </c>
      <c r="L2166" s="13"/>
      <c r="M2166" s="17"/>
      <c r="N2166" s="17"/>
      <c r="O2166" s="17"/>
      <c r="P2166" s="17"/>
      <c r="Q2166" s="17"/>
      <c r="R2166" s="17"/>
      <c r="S2166" s="17"/>
      <c r="T2166" s="17"/>
      <c r="U2166" s="17"/>
      <c r="V2166" s="17"/>
      <c r="W2166" s="17"/>
      <c r="X2166" s="17"/>
      <c r="Y2166" s="19">
        <v>100</v>
      </c>
      <c r="Z2166" s="19">
        <v>100</v>
      </c>
      <c r="AA2166" s="22">
        <v>1079048000</v>
      </c>
      <c r="AB2166" s="98">
        <f t="shared" si="728"/>
        <v>77.824249072677688</v>
      </c>
      <c r="AC2166" s="252">
        <v>1079048000</v>
      </c>
      <c r="AD2166" s="98">
        <f t="shared" si="729"/>
        <v>77.824249072677688</v>
      </c>
    </row>
    <row r="2167" spans="2:30" ht="27">
      <c r="B2167" s="57"/>
      <c r="C2167" s="86" t="s">
        <v>1153</v>
      </c>
      <c r="D2167" s="86" t="s">
        <v>1213</v>
      </c>
      <c r="E2167" s="485"/>
      <c r="F2167" s="485"/>
      <c r="G2167" s="441"/>
      <c r="H2167" s="87"/>
      <c r="I2167" s="87"/>
      <c r="J2167" s="88"/>
      <c r="K2167" s="88"/>
      <c r="L2167" s="13"/>
      <c r="M2167" s="17"/>
      <c r="N2167" s="17"/>
      <c r="O2167" s="17"/>
      <c r="P2167" s="17"/>
      <c r="Q2167" s="17"/>
      <c r="R2167" s="17"/>
      <c r="S2167" s="17"/>
      <c r="T2167" s="17"/>
      <c r="U2167" s="17"/>
      <c r="V2167" s="17"/>
      <c r="W2167" s="17"/>
      <c r="X2167" s="17"/>
      <c r="Y2167" s="19"/>
      <c r="Z2167" s="19"/>
      <c r="AA2167" s="22"/>
      <c r="AB2167" s="98"/>
      <c r="AC2167" s="252"/>
      <c r="AD2167" s="98"/>
    </row>
    <row r="2168" spans="2:30" ht="27">
      <c r="B2168" s="57">
        <f>B2166+1</f>
        <v>10</v>
      </c>
      <c r="C2168" s="74" t="s">
        <v>316</v>
      </c>
      <c r="D2168" s="74" t="s">
        <v>1214</v>
      </c>
      <c r="E2168" s="204"/>
      <c r="F2168" s="204"/>
      <c r="G2168" s="193"/>
      <c r="H2168" s="89"/>
      <c r="I2168" s="89"/>
      <c r="J2168" s="15">
        <v>20950000</v>
      </c>
      <c r="K2168" s="99">
        <v>29997000</v>
      </c>
      <c r="L2168" s="13"/>
      <c r="M2168" s="17"/>
      <c r="N2168" s="17"/>
      <c r="O2168" s="17"/>
      <c r="P2168" s="17"/>
      <c r="Q2168" s="17"/>
      <c r="R2168" s="17"/>
      <c r="S2168" s="17"/>
      <c r="T2168" s="17"/>
      <c r="U2168" s="17"/>
      <c r="V2168" s="17"/>
      <c r="W2168" s="17"/>
      <c r="X2168" s="17"/>
      <c r="Y2168" s="19">
        <v>100</v>
      </c>
      <c r="Z2168" s="19">
        <v>100</v>
      </c>
      <c r="AA2168" s="22">
        <v>26808850</v>
      </c>
      <c r="AB2168" s="98">
        <f t="shared" si="728"/>
        <v>89.37177051038438</v>
      </c>
      <c r="AC2168" s="252">
        <v>26808850</v>
      </c>
      <c r="AD2168" s="98">
        <f t="shared" si="729"/>
        <v>89.37177051038438</v>
      </c>
    </row>
    <row r="2169" spans="2:30">
      <c r="B2169" s="57">
        <f t="shared" si="730"/>
        <v>11</v>
      </c>
      <c r="C2169" s="74" t="s">
        <v>318</v>
      </c>
      <c r="D2169" s="74" t="s">
        <v>1215</v>
      </c>
      <c r="E2169" s="204"/>
      <c r="F2169" s="204"/>
      <c r="G2169" s="193"/>
      <c r="H2169" s="89"/>
      <c r="I2169" s="89"/>
      <c r="J2169" s="15">
        <v>17683000</v>
      </c>
      <c r="K2169" s="99">
        <v>17683000</v>
      </c>
      <c r="L2169" s="13"/>
      <c r="M2169" s="17"/>
      <c r="N2169" s="17"/>
      <c r="O2169" s="17"/>
      <c r="P2169" s="17"/>
      <c r="Q2169" s="17"/>
      <c r="R2169" s="17"/>
      <c r="S2169" s="17"/>
      <c r="T2169" s="17"/>
      <c r="U2169" s="17"/>
      <c r="V2169" s="17"/>
      <c r="W2169" s="17"/>
      <c r="X2169" s="17"/>
      <c r="Y2169" s="19">
        <v>100</v>
      </c>
      <c r="Z2169" s="19">
        <v>100</v>
      </c>
      <c r="AA2169" s="22">
        <v>14786500</v>
      </c>
      <c r="AB2169" s="98">
        <f t="shared" si="728"/>
        <v>83.619860883334269</v>
      </c>
      <c r="AC2169" s="252">
        <v>13316500</v>
      </c>
      <c r="AD2169" s="98">
        <f t="shared" si="729"/>
        <v>75.306791833964823</v>
      </c>
    </row>
    <row r="2170" spans="2:30">
      <c r="B2170" s="57">
        <f t="shared" si="730"/>
        <v>12</v>
      </c>
      <c r="C2170" s="74" t="s">
        <v>320</v>
      </c>
      <c r="D2170" s="74" t="s">
        <v>1216</v>
      </c>
      <c r="E2170" s="204"/>
      <c r="F2170" s="204"/>
      <c r="G2170" s="193"/>
      <c r="H2170" s="89"/>
      <c r="I2170" s="89"/>
      <c r="J2170" s="15">
        <v>5800000</v>
      </c>
      <c r="K2170" s="99">
        <v>5800000</v>
      </c>
      <c r="L2170" s="13"/>
      <c r="M2170" s="17"/>
      <c r="N2170" s="17"/>
      <c r="O2170" s="17"/>
      <c r="P2170" s="17"/>
      <c r="Q2170" s="17"/>
      <c r="R2170" s="17"/>
      <c r="S2170" s="17"/>
      <c r="T2170" s="17"/>
      <c r="U2170" s="17"/>
      <c r="V2170" s="17"/>
      <c r="W2170" s="17"/>
      <c r="X2170" s="17"/>
      <c r="Y2170" s="19">
        <v>100</v>
      </c>
      <c r="Z2170" s="19">
        <v>100</v>
      </c>
      <c r="AA2170" s="22">
        <v>4300000</v>
      </c>
      <c r="AB2170" s="98">
        <f t="shared" si="728"/>
        <v>74.137931034482762</v>
      </c>
      <c r="AC2170" s="252">
        <v>4300000</v>
      </c>
      <c r="AD2170" s="98">
        <f t="shared" si="729"/>
        <v>74.137931034482762</v>
      </c>
    </row>
    <row r="2171" spans="2:30" ht="25.5">
      <c r="B2171" s="57">
        <f t="shared" si="730"/>
        <v>13</v>
      </c>
      <c r="C2171" s="74" t="s">
        <v>322</v>
      </c>
      <c r="D2171" s="49" t="s">
        <v>1217</v>
      </c>
      <c r="E2171" s="204"/>
      <c r="F2171" s="204"/>
      <c r="G2171" s="193"/>
      <c r="H2171" s="89"/>
      <c r="I2171" s="89"/>
      <c r="J2171" s="15">
        <v>10250000</v>
      </c>
      <c r="K2171" s="99">
        <v>10250000</v>
      </c>
      <c r="L2171" s="13"/>
      <c r="M2171" s="17"/>
      <c r="N2171" s="17"/>
      <c r="O2171" s="17"/>
      <c r="P2171" s="17"/>
      <c r="Q2171" s="17"/>
      <c r="R2171" s="17"/>
      <c r="S2171" s="17"/>
      <c r="T2171" s="17"/>
      <c r="U2171" s="17"/>
      <c r="V2171" s="17"/>
      <c r="W2171" s="17"/>
      <c r="X2171" s="17"/>
      <c r="Y2171" s="19">
        <v>100</v>
      </c>
      <c r="Z2171" s="19">
        <v>100</v>
      </c>
      <c r="AA2171" s="22">
        <v>7348905</v>
      </c>
      <c r="AB2171" s="98">
        <f t="shared" si="728"/>
        <v>71.696634146341466</v>
      </c>
      <c r="AC2171" s="252">
        <v>6148905</v>
      </c>
      <c r="AD2171" s="98">
        <f t="shared" si="729"/>
        <v>59.989317073170731</v>
      </c>
    </row>
    <row r="2172" spans="2:30">
      <c r="B2172" s="57">
        <f t="shared" si="730"/>
        <v>14</v>
      </c>
      <c r="C2172" s="74" t="s">
        <v>324</v>
      </c>
      <c r="D2172" s="74" t="s">
        <v>1218</v>
      </c>
      <c r="E2172" s="204"/>
      <c r="F2172" s="204"/>
      <c r="G2172" s="193"/>
      <c r="H2172" s="89"/>
      <c r="I2172" s="89"/>
      <c r="J2172" s="15">
        <v>13687000</v>
      </c>
      <c r="K2172" s="99">
        <v>13687000</v>
      </c>
      <c r="L2172" s="13"/>
      <c r="M2172" s="17"/>
      <c r="N2172" s="17"/>
      <c r="O2172" s="17"/>
      <c r="P2172" s="17"/>
      <c r="Q2172" s="17"/>
      <c r="R2172" s="17"/>
      <c r="S2172" s="17"/>
      <c r="T2172" s="17"/>
      <c r="U2172" s="17"/>
      <c r="V2172" s="17"/>
      <c r="W2172" s="17"/>
      <c r="X2172" s="17"/>
      <c r="Y2172" s="19">
        <v>100</v>
      </c>
      <c r="Z2172" s="19">
        <v>100</v>
      </c>
      <c r="AA2172" s="22">
        <v>11862500</v>
      </c>
      <c r="AB2172" s="98">
        <f t="shared" si="728"/>
        <v>86.669832687952081</v>
      </c>
      <c r="AC2172" s="252">
        <v>11862500</v>
      </c>
      <c r="AD2172" s="98">
        <f t="shared" si="729"/>
        <v>86.669832687952081</v>
      </c>
    </row>
    <row r="2173" spans="2:30">
      <c r="B2173" s="57">
        <f t="shared" si="730"/>
        <v>15</v>
      </c>
      <c r="C2173" s="74" t="s">
        <v>326</v>
      </c>
      <c r="D2173" s="74" t="s">
        <v>1219</v>
      </c>
      <c r="E2173" s="204"/>
      <c r="F2173" s="204"/>
      <c r="G2173" s="193"/>
      <c r="H2173" s="89"/>
      <c r="I2173" s="89"/>
      <c r="J2173" s="15">
        <v>42785000</v>
      </c>
      <c r="K2173" s="99">
        <v>42785000</v>
      </c>
      <c r="L2173" s="13"/>
      <c r="M2173" s="17"/>
      <c r="N2173" s="17"/>
      <c r="O2173" s="17"/>
      <c r="P2173" s="17"/>
      <c r="Q2173" s="17"/>
      <c r="R2173" s="17"/>
      <c r="S2173" s="17"/>
      <c r="T2173" s="17"/>
      <c r="U2173" s="17"/>
      <c r="V2173" s="17"/>
      <c r="W2173" s="17"/>
      <c r="X2173" s="17"/>
      <c r="Y2173" s="19">
        <v>100</v>
      </c>
      <c r="Z2173" s="19">
        <v>100</v>
      </c>
      <c r="AA2173" s="22">
        <v>32926200</v>
      </c>
      <c r="AB2173" s="98">
        <f t="shared" si="728"/>
        <v>76.957344863854146</v>
      </c>
      <c r="AC2173" s="252">
        <v>32926200</v>
      </c>
      <c r="AD2173" s="98">
        <f t="shared" si="729"/>
        <v>76.957344863854146</v>
      </c>
    </row>
    <row r="2174" spans="2:30">
      <c r="B2174" s="57">
        <f t="shared" si="730"/>
        <v>16</v>
      </c>
      <c r="C2174" s="74" t="s">
        <v>328</v>
      </c>
      <c r="D2174" s="74" t="s">
        <v>1220</v>
      </c>
      <c r="E2174" s="204"/>
      <c r="F2174" s="204"/>
      <c r="G2174" s="193"/>
      <c r="H2174" s="89"/>
      <c r="I2174" s="89"/>
      <c r="J2174" s="15">
        <v>4910000</v>
      </c>
      <c r="K2174" s="99">
        <v>4910000</v>
      </c>
      <c r="L2174" s="13"/>
      <c r="M2174" s="17"/>
      <c r="N2174" s="17"/>
      <c r="O2174" s="17"/>
      <c r="P2174" s="17"/>
      <c r="Q2174" s="17"/>
      <c r="R2174" s="17"/>
      <c r="S2174" s="17"/>
      <c r="T2174" s="17"/>
      <c r="U2174" s="17"/>
      <c r="V2174" s="17"/>
      <c r="W2174" s="17"/>
      <c r="X2174" s="17"/>
      <c r="Y2174" s="19">
        <v>100</v>
      </c>
      <c r="Z2174" s="19">
        <v>100</v>
      </c>
      <c r="AA2174" s="22">
        <v>579000</v>
      </c>
      <c r="AB2174" s="98">
        <f t="shared" si="728"/>
        <v>11.792260692464358</v>
      </c>
      <c r="AC2174" s="252">
        <v>579000</v>
      </c>
      <c r="AD2174" s="98">
        <f t="shared" si="729"/>
        <v>11.792260692464358</v>
      </c>
    </row>
    <row r="2175" spans="2:30">
      <c r="B2175" s="57">
        <f t="shared" si="730"/>
        <v>17</v>
      </c>
      <c r="C2175" s="74" t="s">
        <v>1221</v>
      </c>
      <c r="D2175" s="74" t="s">
        <v>1222</v>
      </c>
      <c r="E2175" s="204"/>
      <c r="F2175" s="204"/>
      <c r="G2175" s="193"/>
      <c r="H2175" s="89"/>
      <c r="I2175" s="89"/>
      <c r="J2175" s="15">
        <v>10000000</v>
      </c>
      <c r="K2175" s="99">
        <v>9210000</v>
      </c>
      <c r="L2175" s="13"/>
      <c r="M2175" s="17"/>
      <c r="N2175" s="17"/>
      <c r="O2175" s="17"/>
      <c r="P2175" s="17"/>
      <c r="Q2175" s="17"/>
      <c r="R2175" s="17"/>
      <c r="S2175" s="17"/>
      <c r="T2175" s="17"/>
      <c r="U2175" s="17"/>
      <c r="V2175" s="17"/>
      <c r="W2175" s="17"/>
      <c r="X2175" s="17"/>
      <c r="Y2175" s="19">
        <v>100</v>
      </c>
      <c r="Z2175" s="19">
        <v>100</v>
      </c>
      <c r="AA2175" s="22">
        <v>5292000</v>
      </c>
      <c r="AB2175" s="98">
        <f t="shared" si="728"/>
        <v>57.45928338762215</v>
      </c>
      <c r="AC2175" s="252">
        <v>1210000</v>
      </c>
      <c r="AD2175" s="98">
        <f t="shared" si="729"/>
        <v>13.137893593919653</v>
      </c>
    </row>
    <row r="2176" spans="2:30" ht="25.5">
      <c r="B2176" s="57">
        <f>B2175+1</f>
        <v>18</v>
      </c>
      <c r="C2176" s="58" t="s">
        <v>1223</v>
      </c>
      <c r="D2176" s="75" t="s">
        <v>1224</v>
      </c>
      <c r="E2176" s="204"/>
      <c r="F2176" s="204"/>
      <c r="G2176" s="193"/>
      <c r="H2176" s="89"/>
      <c r="I2176" s="89"/>
      <c r="J2176" s="15">
        <v>48100000</v>
      </c>
      <c r="K2176" s="99">
        <v>47616000</v>
      </c>
      <c r="L2176" s="13"/>
      <c r="M2176" s="17"/>
      <c r="N2176" s="17"/>
      <c r="O2176" s="17"/>
      <c r="P2176" s="17"/>
      <c r="Q2176" s="17"/>
      <c r="R2176" s="17"/>
      <c r="S2176" s="17"/>
      <c r="T2176" s="17"/>
      <c r="U2176" s="17"/>
      <c r="V2176" s="17"/>
      <c r="W2176" s="17"/>
      <c r="X2176" s="17"/>
      <c r="Y2176" s="19">
        <v>100</v>
      </c>
      <c r="Z2176" s="19">
        <v>100</v>
      </c>
      <c r="AA2176" s="22">
        <v>41877000</v>
      </c>
      <c r="AB2176" s="98">
        <f t="shared" si="728"/>
        <v>87.947328629032256</v>
      </c>
      <c r="AC2176" s="252">
        <v>41877000</v>
      </c>
      <c r="AD2176" s="98">
        <f t="shared" si="729"/>
        <v>87.947328629032256</v>
      </c>
    </row>
    <row r="2177" spans="2:30">
      <c r="B2177" s="57">
        <f>B2176+1</f>
        <v>19</v>
      </c>
      <c r="C2177" s="174">
        <v>24.012</v>
      </c>
      <c r="D2177" s="17" t="s">
        <v>2352</v>
      </c>
      <c r="E2177" s="204"/>
      <c r="F2177" s="204"/>
      <c r="G2177" s="193"/>
      <c r="H2177" s="89"/>
      <c r="I2177" s="89"/>
      <c r="J2177" s="15"/>
      <c r="K2177" s="99">
        <v>86878000</v>
      </c>
      <c r="L2177" s="13"/>
      <c r="M2177" s="17"/>
      <c r="N2177" s="17"/>
      <c r="O2177" s="17"/>
      <c r="P2177" s="17"/>
      <c r="Q2177" s="17"/>
      <c r="R2177" s="17"/>
      <c r="S2177" s="17"/>
      <c r="T2177" s="17"/>
      <c r="U2177" s="17"/>
      <c r="V2177" s="17"/>
      <c r="W2177" s="17"/>
      <c r="X2177" s="17"/>
      <c r="Y2177" s="19">
        <v>100</v>
      </c>
      <c r="Z2177" s="19">
        <v>100</v>
      </c>
      <c r="AA2177" s="22">
        <v>81277332</v>
      </c>
      <c r="AB2177" s="98">
        <f t="shared" si="728"/>
        <v>93.55341052970833</v>
      </c>
      <c r="AC2177" s="252">
        <v>81277332</v>
      </c>
      <c r="AD2177" s="98">
        <f t="shared" si="729"/>
        <v>93.55341052970833</v>
      </c>
    </row>
    <row r="2178" spans="2:30" ht="27">
      <c r="B2178" s="57"/>
      <c r="C2178" s="86" t="s">
        <v>1158</v>
      </c>
      <c r="D2178" s="86" t="s">
        <v>1225</v>
      </c>
      <c r="E2178" s="485"/>
      <c r="F2178" s="485"/>
      <c r="G2178" s="441"/>
      <c r="H2178" s="87"/>
      <c r="I2178" s="87"/>
      <c r="J2178" s="88"/>
      <c r="K2178" s="88"/>
      <c r="L2178" s="13"/>
      <c r="M2178" s="17"/>
      <c r="N2178" s="17"/>
      <c r="O2178" s="17"/>
      <c r="P2178" s="17"/>
      <c r="Q2178" s="17"/>
      <c r="R2178" s="17"/>
      <c r="S2178" s="17"/>
      <c r="T2178" s="17"/>
      <c r="U2178" s="17"/>
      <c r="V2178" s="17"/>
      <c r="W2178" s="17"/>
      <c r="X2178" s="17"/>
      <c r="Y2178" s="19"/>
      <c r="Z2178" s="19"/>
      <c r="AA2178" s="22"/>
      <c r="AB2178" s="98"/>
      <c r="AC2178" s="252"/>
      <c r="AD2178" s="98"/>
    </row>
    <row r="2179" spans="2:30" ht="27">
      <c r="B2179" s="57">
        <f>B2177+1</f>
        <v>20</v>
      </c>
      <c r="C2179" s="74" t="s">
        <v>354</v>
      </c>
      <c r="D2179" s="74" t="s">
        <v>1226</v>
      </c>
      <c r="E2179" s="204"/>
      <c r="F2179" s="204"/>
      <c r="G2179" s="193"/>
      <c r="H2179" s="89"/>
      <c r="I2179" s="89"/>
      <c r="J2179" s="15">
        <v>6026000</v>
      </c>
      <c r="K2179" s="99">
        <v>6026000</v>
      </c>
      <c r="L2179" s="13"/>
      <c r="M2179" s="17"/>
      <c r="N2179" s="17"/>
      <c r="O2179" s="17"/>
      <c r="P2179" s="17"/>
      <c r="Q2179" s="17"/>
      <c r="R2179" s="17"/>
      <c r="S2179" s="17"/>
      <c r="T2179" s="17"/>
      <c r="U2179" s="17"/>
      <c r="V2179" s="17"/>
      <c r="W2179" s="17"/>
      <c r="X2179" s="17"/>
      <c r="Y2179" s="19">
        <v>100</v>
      </c>
      <c r="Z2179" s="19">
        <v>100</v>
      </c>
      <c r="AA2179" s="22">
        <v>2958000</v>
      </c>
      <c r="AB2179" s="98">
        <f t="shared" si="728"/>
        <v>49.087288416860268</v>
      </c>
      <c r="AC2179" s="252">
        <f>AA2179</f>
        <v>2958000</v>
      </c>
      <c r="AD2179" s="98">
        <f t="shared" si="729"/>
        <v>49.087288416860268</v>
      </c>
    </row>
    <row r="2180" spans="2:30">
      <c r="B2180" s="57">
        <f t="shared" si="730"/>
        <v>21</v>
      </c>
      <c r="C2180" s="74" t="s">
        <v>355</v>
      </c>
      <c r="D2180" s="74" t="s">
        <v>1227</v>
      </c>
      <c r="E2180" s="204"/>
      <c r="F2180" s="204"/>
      <c r="G2180" s="193"/>
      <c r="H2180" s="89"/>
      <c r="I2180" s="89"/>
      <c r="J2180" s="15">
        <v>16743000</v>
      </c>
      <c r="K2180" s="99">
        <v>16743000</v>
      </c>
      <c r="L2180" s="13"/>
      <c r="M2180" s="17"/>
      <c r="N2180" s="17"/>
      <c r="O2180" s="17"/>
      <c r="P2180" s="17"/>
      <c r="Q2180" s="17"/>
      <c r="R2180" s="17"/>
      <c r="S2180" s="17"/>
      <c r="T2180" s="17"/>
      <c r="U2180" s="17"/>
      <c r="V2180" s="17"/>
      <c r="W2180" s="17"/>
      <c r="X2180" s="17"/>
      <c r="Y2180" s="19">
        <v>100</v>
      </c>
      <c r="Z2180" s="19">
        <v>100</v>
      </c>
      <c r="AA2180" s="22">
        <v>5522500</v>
      </c>
      <c r="AB2180" s="98">
        <f t="shared" si="728"/>
        <v>32.983933584184435</v>
      </c>
      <c r="AC2180" s="252">
        <v>5522500</v>
      </c>
      <c r="AD2180" s="98">
        <f t="shared" si="729"/>
        <v>32.983933584184435</v>
      </c>
    </row>
    <row r="2181" spans="2:30">
      <c r="B2181" s="57">
        <f t="shared" si="730"/>
        <v>22</v>
      </c>
      <c r="C2181" s="74" t="s">
        <v>1228</v>
      </c>
      <c r="D2181" s="74" t="s">
        <v>1229</v>
      </c>
      <c r="E2181" s="204"/>
      <c r="F2181" s="204"/>
      <c r="G2181" s="193"/>
      <c r="H2181" s="89"/>
      <c r="I2181" s="89"/>
      <c r="J2181" s="15">
        <v>14430000</v>
      </c>
      <c r="K2181" s="99">
        <v>14430000</v>
      </c>
      <c r="L2181" s="13"/>
      <c r="M2181" s="17"/>
      <c r="N2181" s="17"/>
      <c r="O2181" s="17"/>
      <c r="P2181" s="17"/>
      <c r="Q2181" s="17"/>
      <c r="R2181" s="17"/>
      <c r="S2181" s="17"/>
      <c r="T2181" s="17"/>
      <c r="U2181" s="17"/>
      <c r="V2181" s="17"/>
      <c r="W2181" s="17"/>
      <c r="X2181" s="17"/>
      <c r="Y2181" s="19">
        <v>100</v>
      </c>
      <c r="Z2181" s="19">
        <v>100</v>
      </c>
      <c r="AA2181" s="22">
        <v>12790000</v>
      </c>
      <c r="AB2181" s="98">
        <f t="shared" si="728"/>
        <v>88.634788634788634</v>
      </c>
      <c r="AC2181" s="252">
        <v>12790000</v>
      </c>
      <c r="AD2181" s="98">
        <f t="shared" si="729"/>
        <v>88.634788634788634</v>
      </c>
    </row>
    <row r="2182" spans="2:30" ht="27">
      <c r="B2182" s="57">
        <f t="shared" si="730"/>
        <v>23</v>
      </c>
      <c r="C2182" s="74" t="s">
        <v>1230</v>
      </c>
      <c r="D2182" s="74" t="s">
        <v>1231</v>
      </c>
      <c r="E2182" s="204"/>
      <c r="F2182" s="204"/>
      <c r="G2182" s="193"/>
      <c r="H2182" s="89"/>
      <c r="I2182" s="89"/>
      <c r="J2182" s="15">
        <v>61228000</v>
      </c>
      <c r="K2182" s="99">
        <v>26399000</v>
      </c>
      <c r="L2182" s="13"/>
      <c r="M2182" s="17"/>
      <c r="N2182" s="17"/>
      <c r="O2182" s="17"/>
      <c r="P2182" s="17"/>
      <c r="Q2182" s="17"/>
      <c r="R2182" s="17"/>
      <c r="S2182" s="17"/>
      <c r="T2182" s="17"/>
      <c r="U2182" s="17"/>
      <c r="V2182" s="17"/>
      <c r="W2182" s="17"/>
      <c r="X2182" s="17"/>
      <c r="Y2182" s="19">
        <v>100</v>
      </c>
      <c r="Z2182" s="19">
        <v>100</v>
      </c>
      <c r="AA2182" s="22">
        <v>22393000</v>
      </c>
      <c r="AB2182" s="98">
        <f t="shared" si="728"/>
        <v>84.825182772074697</v>
      </c>
      <c r="AC2182" s="252">
        <v>21313000</v>
      </c>
      <c r="AD2182" s="98">
        <f t="shared" si="729"/>
        <v>80.734118716618056</v>
      </c>
    </row>
    <row r="2183" spans="2:30" ht="27">
      <c r="B2183" s="57">
        <f>B2182+1</f>
        <v>24</v>
      </c>
      <c r="C2183" s="74" t="s">
        <v>1232</v>
      </c>
      <c r="D2183" s="74" t="s">
        <v>1233</v>
      </c>
      <c r="E2183" s="204"/>
      <c r="F2183" s="204"/>
      <c r="G2183" s="193"/>
      <c r="H2183" s="89"/>
      <c r="I2183" s="89"/>
      <c r="J2183" s="15">
        <v>45337000</v>
      </c>
      <c r="K2183" s="99">
        <v>75337000</v>
      </c>
      <c r="L2183" s="13"/>
      <c r="M2183" s="17"/>
      <c r="N2183" s="17"/>
      <c r="O2183" s="17"/>
      <c r="P2183" s="17"/>
      <c r="Q2183" s="17"/>
      <c r="R2183" s="17"/>
      <c r="S2183" s="17"/>
      <c r="T2183" s="17"/>
      <c r="U2183" s="17"/>
      <c r="V2183" s="17"/>
      <c r="W2183" s="17"/>
      <c r="X2183" s="17"/>
      <c r="Y2183" s="19">
        <v>100</v>
      </c>
      <c r="Z2183" s="19">
        <v>100</v>
      </c>
      <c r="AA2183" s="22">
        <v>69465300</v>
      </c>
      <c r="AB2183" s="98">
        <f t="shared" si="728"/>
        <v>92.206087314334269</v>
      </c>
      <c r="AC2183" s="252">
        <v>65642400</v>
      </c>
      <c r="AD2183" s="98">
        <f t="shared" si="729"/>
        <v>87.131688280658906</v>
      </c>
    </row>
    <row r="2184" spans="2:30">
      <c r="B2184" s="57">
        <f t="shared" si="730"/>
        <v>25</v>
      </c>
      <c r="C2184" s="74" t="s">
        <v>1234</v>
      </c>
      <c r="D2184" s="21" t="s">
        <v>1235</v>
      </c>
      <c r="E2184" s="204"/>
      <c r="F2184" s="204"/>
      <c r="G2184" s="193"/>
      <c r="H2184" s="89"/>
      <c r="I2184" s="89"/>
      <c r="J2184" s="15">
        <v>396845000</v>
      </c>
      <c r="K2184" s="99">
        <v>354325000</v>
      </c>
      <c r="L2184" s="13"/>
      <c r="M2184" s="17"/>
      <c r="N2184" s="17"/>
      <c r="O2184" s="17"/>
      <c r="P2184" s="17"/>
      <c r="Q2184" s="17"/>
      <c r="R2184" s="17"/>
      <c r="S2184" s="17"/>
      <c r="T2184" s="17"/>
      <c r="U2184" s="17"/>
      <c r="V2184" s="17"/>
      <c r="W2184" s="17"/>
      <c r="X2184" s="17"/>
      <c r="Y2184" s="19">
        <v>100</v>
      </c>
      <c r="Z2184" s="19">
        <v>100</v>
      </c>
      <c r="AA2184" s="22">
        <v>339241350</v>
      </c>
      <c r="AB2184" s="98">
        <f t="shared" si="728"/>
        <v>95.742990192619772</v>
      </c>
      <c r="AC2184" s="252">
        <v>7841350</v>
      </c>
      <c r="AD2184" s="98">
        <f t="shared" si="729"/>
        <v>2.2130388767374587</v>
      </c>
    </row>
    <row r="2185" spans="2:30">
      <c r="B2185" s="57">
        <f t="shared" si="730"/>
        <v>26</v>
      </c>
      <c r="C2185" s="74" t="s">
        <v>1236</v>
      </c>
      <c r="D2185" s="21" t="s">
        <v>1237</v>
      </c>
      <c r="E2185" s="204"/>
      <c r="F2185" s="204"/>
      <c r="G2185" s="193"/>
      <c r="H2185" s="89"/>
      <c r="I2185" s="89"/>
      <c r="J2185" s="15">
        <v>385080000</v>
      </c>
      <c r="K2185" s="99">
        <v>429358000</v>
      </c>
      <c r="L2185" s="13"/>
      <c r="M2185" s="17"/>
      <c r="N2185" s="17"/>
      <c r="O2185" s="17"/>
      <c r="P2185" s="17"/>
      <c r="Q2185" s="17"/>
      <c r="R2185" s="17"/>
      <c r="S2185" s="17"/>
      <c r="T2185" s="17"/>
      <c r="U2185" s="17"/>
      <c r="V2185" s="17"/>
      <c r="W2185" s="17"/>
      <c r="X2185" s="17"/>
      <c r="Y2185" s="19">
        <v>100</v>
      </c>
      <c r="Z2185" s="19">
        <v>100</v>
      </c>
      <c r="AA2185" s="22">
        <v>400078000</v>
      </c>
      <c r="AB2185" s="98">
        <f t="shared" si="728"/>
        <v>93.180516026253144</v>
      </c>
      <c r="AC2185" s="252">
        <v>273716250</v>
      </c>
      <c r="AD2185" s="98">
        <f t="shared" si="729"/>
        <v>63.750122275583543</v>
      </c>
    </row>
    <row r="2186" spans="2:30">
      <c r="B2186" s="57">
        <f t="shared" si="730"/>
        <v>27</v>
      </c>
      <c r="C2186" s="74" t="s">
        <v>1238</v>
      </c>
      <c r="D2186" s="21" t="s">
        <v>1239</v>
      </c>
      <c r="E2186" s="204"/>
      <c r="F2186" s="204"/>
      <c r="G2186" s="193"/>
      <c r="H2186" s="89"/>
      <c r="I2186" s="89"/>
      <c r="J2186" s="15">
        <v>13109000</v>
      </c>
      <c r="K2186" s="99">
        <v>13109000</v>
      </c>
      <c r="L2186" s="13"/>
      <c r="M2186" s="17"/>
      <c r="N2186" s="17"/>
      <c r="O2186" s="17"/>
      <c r="P2186" s="17"/>
      <c r="Q2186" s="17"/>
      <c r="R2186" s="17"/>
      <c r="S2186" s="17"/>
      <c r="T2186" s="17"/>
      <c r="U2186" s="17"/>
      <c r="V2186" s="17"/>
      <c r="W2186" s="17"/>
      <c r="X2186" s="17"/>
      <c r="Y2186" s="19">
        <v>100</v>
      </c>
      <c r="Z2186" s="19">
        <v>100</v>
      </c>
      <c r="AA2186" s="22">
        <v>10120000</v>
      </c>
      <c r="AB2186" s="98">
        <f t="shared" si="728"/>
        <v>77.198871004653284</v>
      </c>
      <c r="AC2186" s="252">
        <v>9640000</v>
      </c>
      <c r="AD2186" s="98">
        <f t="shared" si="729"/>
        <v>73.537264474788316</v>
      </c>
    </row>
    <row r="2187" spans="2:30">
      <c r="B2187" s="95">
        <f t="shared" si="730"/>
        <v>28</v>
      </c>
      <c r="C2187" s="116">
        <v>25.013000000000002</v>
      </c>
      <c r="D2187" s="21" t="s">
        <v>1240</v>
      </c>
      <c r="E2187" s="489"/>
      <c r="F2187" s="489"/>
      <c r="G2187" s="240"/>
      <c r="H2187" s="186"/>
      <c r="I2187" s="186"/>
      <c r="J2187" s="15">
        <v>408304000</v>
      </c>
      <c r="K2187" s="99">
        <v>455329000</v>
      </c>
      <c r="L2187" s="45"/>
      <c r="M2187" s="44"/>
      <c r="N2187" s="44"/>
      <c r="O2187" s="44"/>
      <c r="P2187" s="44"/>
      <c r="Q2187" s="44"/>
      <c r="R2187" s="44"/>
      <c r="S2187" s="44"/>
      <c r="T2187" s="44"/>
      <c r="U2187" s="44"/>
      <c r="V2187" s="44"/>
      <c r="W2187" s="44"/>
      <c r="X2187" s="44"/>
      <c r="Y2187" s="19">
        <v>100</v>
      </c>
      <c r="Z2187" s="19">
        <v>0</v>
      </c>
      <c r="AA2187" s="73">
        <v>45144856</v>
      </c>
      <c r="AB2187" s="98">
        <f t="shared" si="728"/>
        <v>9.914777227016069</v>
      </c>
      <c r="AC2187" s="253">
        <v>45144856</v>
      </c>
      <c r="AD2187" s="98">
        <f t="shared" si="729"/>
        <v>9.914777227016069</v>
      </c>
    </row>
    <row r="2188" spans="2:30">
      <c r="B2188" s="95">
        <f t="shared" si="730"/>
        <v>29</v>
      </c>
      <c r="C2188" s="269">
        <v>25.013999999999999</v>
      </c>
      <c r="D2188" s="21" t="s">
        <v>1241</v>
      </c>
      <c r="E2188" s="489"/>
      <c r="F2188" s="489"/>
      <c r="G2188" s="240"/>
      <c r="H2188" s="186"/>
      <c r="I2188" s="186"/>
      <c r="J2188" s="15">
        <v>168794000</v>
      </c>
      <c r="K2188" s="99">
        <v>12068000</v>
      </c>
      <c r="L2188" s="45"/>
      <c r="M2188" s="44"/>
      <c r="N2188" s="44"/>
      <c r="O2188" s="44"/>
      <c r="P2188" s="44"/>
      <c r="Q2188" s="44"/>
      <c r="R2188" s="44"/>
      <c r="S2188" s="44"/>
      <c r="T2188" s="44"/>
      <c r="U2188" s="44"/>
      <c r="V2188" s="44"/>
      <c r="W2188" s="44"/>
      <c r="X2188" s="44"/>
      <c r="Y2188" s="19">
        <v>100</v>
      </c>
      <c r="Z2188" s="19">
        <v>100</v>
      </c>
      <c r="AA2188" s="73">
        <v>12067398</v>
      </c>
      <c r="AB2188" s="98">
        <f t="shared" si="728"/>
        <v>99.99501160092808</v>
      </c>
      <c r="AC2188" s="253">
        <v>12067398</v>
      </c>
      <c r="AD2188" s="20">
        <f t="shared" si="729"/>
        <v>99.99501160092808</v>
      </c>
    </row>
    <row r="2189" spans="2:30">
      <c r="B2189" s="95">
        <f t="shared" si="730"/>
        <v>30</v>
      </c>
      <c r="C2189" s="175">
        <v>25.015000000000001</v>
      </c>
      <c r="D2189" s="17" t="s">
        <v>2353</v>
      </c>
      <c r="E2189" s="347"/>
      <c r="F2189" s="347"/>
      <c r="G2189" s="498"/>
      <c r="H2189" s="105"/>
      <c r="I2189" s="105"/>
      <c r="J2189" s="598"/>
      <c r="K2189" s="99">
        <v>194478000</v>
      </c>
      <c r="L2189" s="47"/>
      <c r="M2189" s="51"/>
      <c r="N2189" s="51"/>
      <c r="O2189" s="51"/>
      <c r="P2189" s="51"/>
      <c r="Q2189" s="51"/>
      <c r="R2189" s="51"/>
      <c r="S2189" s="51"/>
      <c r="T2189" s="51"/>
      <c r="U2189" s="51"/>
      <c r="V2189" s="51"/>
      <c r="W2189" s="51"/>
      <c r="X2189" s="51"/>
      <c r="Y2189" s="211">
        <v>100</v>
      </c>
      <c r="Z2189" s="211">
        <v>100</v>
      </c>
      <c r="AA2189" s="112">
        <v>8098500</v>
      </c>
      <c r="AB2189" s="207">
        <f t="shared" si="728"/>
        <v>4.1642242310184185</v>
      </c>
      <c r="AC2189" s="748">
        <v>1875500</v>
      </c>
      <c r="AD2189" s="207">
        <f t="shared" si="729"/>
        <v>0.96437643332407774</v>
      </c>
    </row>
    <row r="2190" spans="2:30">
      <c r="B2190" s="37">
        <v>168</v>
      </c>
      <c r="C2190" s="855" t="s">
        <v>1242</v>
      </c>
      <c r="D2190" s="855"/>
      <c r="E2190" s="483"/>
      <c r="F2190" s="483">
        <v>29</v>
      </c>
      <c r="G2190" s="468"/>
      <c r="H2190" s="483"/>
      <c r="I2190" s="468"/>
      <c r="J2190" s="208">
        <f>SUM(J2157:J2188)</f>
        <v>3889812000</v>
      </c>
      <c r="K2190" s="208">
        <f>SUM(K2157:K2189)</f>
        <v>4306961000</v>
      </c>
      <c r="L2190" s="295"/>
      <c r="M2190" s="28"/>
      <c r="N2190" s="28"/>
      <c r="O2190" s="28"/>
      <c r="P2190" s="28"/>
      <c r="Q2190" s="28"/>
      <c r="R2190" s="28"/>
      <c r="S2190" s="28"/>
      <c r="T2190" s="28"/>
      <c r="U2190" s="28"/>
      <c r="V2190" s="28"/>
      <c r="W2190" s="28"/>
      <c r="X2190" s="28"/>
      <c r="Y2190" s="68">
        <f>SUM(Y2157:Y2189)/29</f>
        <v>100</v>
      </c>
      <c r="Z2190" s="84">
        <f>SUM(Z2157:Z2189)/29</f>
        <v>96.551724137931032</v>
      </c>
      <c r="AA2190" s="68">
        <f>SUM(AA2157:AA2189)</f>
        <v>3065535251</v>
      </c>
      <c r="AB2190" s="84">
        <f>SUM(AB2157:AB2188)/29</f>
        <v>73.890399777939649</v>
      </c>
      <c r="AC2190" s="68">
        <f>SUM(AC2157:AC2189)</f>
        <v>2591103101</v>
      </c>
      <c r="AD2190" s="84">
        <f>SUM(AD2157:AD2188)/29</f>
        <v>67.002520004273066</v>
      </c>
    </row>
    <row r="2191" spans="2:30">
      <c r="B2191" s="66"/>
      <c r="C2191" s="63" t="s">
        <v>1243</v>
      </c>
      <c r="D2191" s="64" t="s">
        <v>1244</v>
      </c>
      <c r="E2191" s="484"/>
      <c r="F2191" s="549">
        <f>SUM(F2193:F2222)</f>
        <v>26</v>
      </c>
      <c r="G2191" s="543" t="s">
        <v>1845</v>
      </c>
      <c r="H2191" s="554">
        <v>0</v>
      </c>
      <c r="I2191" s="555" t="s">
        <v>1845</v>
      </c>
      <c r="J2191" s="65"/>
      <c r="K2191" s="65"/>
      <c r="L2191" s="66"/>
      <c r="M2191" s="63"/>
      <c r="N2191" s="63"/>
      <c r="O2191" s="63"/>
      <c r="P2191" s="63"/>
      <c r="Q2191" s="63"/>
      <c r="R2191" s="63"/>
      <c r="S2191" s="63"/>
      <c r="T2191" s="63"/>
      <c r="U2191" s="63"/>
      <c r="V2191" s="63"/>
      <c r="W2191" s="63"/>
      <c r="X2191" s="63"/>
      <c r="Y2191" s="63"/>
      <c r="Z2191" s="63"/>
      <c r="AA2191" s="63"/>
      <c r="AB2191" s="63"/>
      <c r="AC2191" s="63"/>
      <c r="AD2191" s="63"/>
    </row>
    <row r="2192" spans="2:30" ht="27">
      <c r="B2192" s="13"/>
      <c r="C2192" s="86" t="s">
        <v>1243</v>
      </c>
      <c r="D2192" s="86" t="s">
        <v>26</v>
      </c>
      <c r="E2192" s="485"/>
      <c r="F2192" s="485"/>
      <c r="G2192" s="557"/>
      <c r="H2192" s="87"/>
      <c r="I2192" s="87"/>
      <c r="J2192" s="88"/>
      <c r="K2192" s="88"/>
      <c r="L2192" s="13"/>
      <c r="M2192" s="17"/>
      <c r="N2192" s="17"/>
      <c r="O2192" s="17"/>
      <c r="P2192" s="17"/>
      <c r="Q2192" s="17"/>
      <c r="R2192" s="17"/>
      <c r="S2192" s="17"/>
      <c r="T2192" s="17"/>
      <c r="U2192" s="17"/>
      <c r="V2192" s="17"/>
      <c r="W2192" s="17"/>
      <c r="X2192" s="17"/>
      <c r="Y2192" s="17"/>
      <c r="Z2192" s="17"/>
      <c r="AA2192" s="17" t="s">
        <v>1</v>
      </c>
      <c r="AB2192" s="17"/>
      <c r="AC2192" s="17"/>
      <c r="AD2192" s="17"/>
    </row>
    <row r="2193" spans="1:30">
      <c r="B2193" s="13">
        <v>1</v>
      </c>
      <c r="C2193" s="74" t="s">
        <v>203</v>
      </c>
      <c r="D2193" s="74" t="s">
        <v>28</v>
      </c>
      <c r="E2193" s="204"/>
      <c r="F2193" s="97">
        <v>1</v>
      </c>
      <c r="G2193" s="558" t="s">
        <v>1845</v>
      </c>
      <c r="H2193" s="560">
        <v>0</v>
      </c>
      <c r="I2193" s="559" t="s">
        <v>1845</v>
      </c>
      <c r="J2193" s="15">
        <v>122274000</v>
      </c>
      <c r="K2193" s="99">
        <v>267329000</v>
      </c>
      <c r="L2193" s="13"/>
      <c r="M2193" s="17"/>
      <c r="N2193" s="17"/>
      <c r="O2193" s="17"/>
      <c r="P2193" s="17"/>
      <c r="Q2193" s="17"/>
      <c r="R2193" s="17"/>
      <c r="S2193" s="17"/>
      <c r="T2193" s="17"/>
      <c r="U2193" s="17"/>
      <c r="V2193" s="17"/>
      <c r="W2193" s="17"/>
      <c r="X2193" s="17"/>
      <c r="Y2193" s="53">
        <f>AB2193</f>
        <v>81.397827770275583</v>
      </c>
      <c r="Z2193" s="53">
        <f>AD2193</f>
        <v>81.397827770275583</v>
      </c>
      <c r="AA2193" s="22">
        <v>217599999</v>
      </c>
      <c r="AB2193" s="19">
        <f>AA2193/K2193*100</f>
        <v>81.397827770275583</v>
      </c>
      <c r="AC2193" s="22">
        <f t="shared" ref="AC2193:AC2198" si="731">AA2193</f>
        <v>217599999</v>
      </c>
      <c r="AD2193" s="19">
        <f>AC2193/K2193*100</f>
        <v>81.397827770275583</v>
      </c>
    </row>
    <row r="2194" spans="1:30">
      <c r="B2194" s="13">
        <f>B2193+1</f>
        <v>2</v>
      </c>
      <c r="C2194" s="74" t="s">
        <v>210</v>
      </c>
      <c r="D2194" s="74" t="s">
        <v>30</v>
      </c>
      <c r="E2194" s="204"/>
      <c r="F2194" s="97">
        <v>1</v>
      </c>
      <c r="G2194" s="545" t="s">
        <v>1845</v>
      </c>
      <c r="H2194" s="590">
        <v>0</v>
      </c>
      <c r="I2194" s="559" t="s">
        <v>1845</v>
      </c>
      <c r="J2194" s="15">
        <v>115795000</v>
      </c>
      <c r="K2194" s="99">
        <v>115795000</v>
      </c>
      <c r="L2194" s="13"/>
      <c r="M2194" s="17"/>
      <c r="N2194" s="17"/>
      <c r="O2194" s="17"/>
      <c r="P2194" s="17"/>
      <c r="Q2194" s="17"/>
      <c r="R2194" s="17"/>
      <c r="S2194" s="17"/>
      <c r="T2194" s="17"/>
      <c r="U2194" s="17"/>
      <c r="V2194" s="17"/>
      <c r="W2194" s="17"/>
      <c r="X2194" s="17"/>
      <c r="Y2194" s="53">
        <f t="shared" ref="Y2194:Y2222" si="732">AB2194</f>
        <v>95.612936655295997</v>
      </c>
      <c r="Z2194" s="53">
        <f t="shared" ref="Z2194:Z2222" si="733">AD2194</f>
        <v>95.612936655295997</v>
      </c>
      <c r="AA2194" s="22">
        <v>110715000</v>
      </c>
      <c r="AB2194" s="19">
        <f t="shared" ref="AB2194:AB2198" si="734">AA2194/K2194*100</f>
        <v>95.612936655295997</v>
      </c>
      <c r="AC2194" s="22">
        <f t="shared" si="731"/>
        <v>110715000</v>
      </c>
      <c r="AD2194" s="19">
        <f t="shared" ref="AD2194:AD2223" si="735">AC2194/K2194*100</f>
        <v>95.612936655295997</v>
      </c>
    </row>
    <row r="2195" spans="1:30">
      <c r="A2195" s="72"/>
      <c r="B2195" s="13">
        <f t="shared" ref="B2195:B2223" si="736">B2194+1</f>
        <v>3</v>
      </c>
      <c r="C2195" s="74" t="s">
        <v>204</v>
      </c>
      <c r="D2195" s="74" t="s">
        <v>32</v>
      </c>
      <c r="E2195" s="204"/>
      <c r="F2195" s="97">
        <v>1</v>
      </c>
      <c r="G2195" s="545" t="s">
        <v>1845</v>
      </c>
      <c r="H2195" s="590">
        <v>0</v>
      </c>
      <c r="I2195" s="559" t="s">
        <v>1845</v>
      </c>
      <c r="J2195" s="15">
        <v>193953000</v>
      </c>
      <c r="K2195" s="99">
        <v>193953000</v>
      </c>
      <c r="L2195" s="13"/>
      <c r="M2195" s="17"/>
      <c r="N2195" s="17"/>
      <c r="O2195" s="17"/>
      <c r="P2195" s="17"/>
      <c r="Q2195" s="17"/>
      <c r="R2195" s="17"/>
      <c r="S2195" s="17"/>
      <c r="T2195" s="17"/>
      <c r="U2195" s="17"/>
      <c r="V2195" s="17"/>
      <c r="W2195" s="17"/>
      <c r="X2195" s="17"/>
      <c r="Y2195" s="53">
        <f t="shared" si="732"/>
        <v>99.342353559883065</v>
      </c>
      <c r="Z2195" s="53">
        <f t="shared" si="733"/>
        <v>99.342353559883065</v>
      </c>
      <c r="AA2195" s="22">
        <v>192677475</v>
      </c>
      <c r="AB2195" s="19">
        <f t="shared" si="734"/>
        <v>99.342353559883065</v>
      </c>
      <c r="AC2195" s="22">
        <f t="shared" si="731"/>
        <v>192677475</v>
      </c>
      <c r="AD2195" s="19">
        <f t="shared" si="735"/>
        <v>99.342353559883065</v>
      </c>
    </row>
    <row r="2196" spans="1:30">
      <c r="A2196" s="72"/>
      <c r="B2196" s="13">
        <f t="shared" si="736"/>
        <v>4</v>
      </c>
      <c r="C2196" s="74" t="s">
        <v>205</v>
      </c>
      <c r="D2196" s="74" t="s">
        <v>34</v>
      </c>
      <c r="E2196" s="204"/>
      <c r="F2196" s="97">
        <v>1</v>
      </c>
      <c r="G2196" s="545" t="s">
        <v>1845</v>
      </c>
      <c r="H2196" s="590">
        <v>0</v>
      </c>
      <c r="I2196" s="559" t="s">
        <v>1845</v>
      </c>
      <c r="J2196" s="15">
        <v>41250000</v>
      </c>
      <c r="K2196" s="99">
        <v>41250000</v>
      </c>
      <c r="L2196" s="13"/>
      <c r="M2196" s="17"/>
      <c r="N2196" s="17"/>
      <c r="O2196" s="17"/>
      <c r="P2196" s="17"/>
      <c r="Q2196" s="17"/>
      <c r="R2196" s="17"/>
      <c r="S2196" s="17"/>
      <c r="T2196" s="17"/>
      <c r="U2196" s="17"/>
      <c r="V2196" s="17"/>
      <c r="W2196" s="17"/>
      <c r="X2196" s="17"/>
      <c r="Y2196" s="53">
        <f t="shared" si="732"/>
        <v>100</v>
      </c>
      <c r="Z2196" s="53">
        <f t="shared" si="733"/>
        <v>100</v>
      </c>
      <c r="AA2196" s="22">
        <v>41250000</v>
      </c>
      <c r="AB2196" s="19">
        <f t="shared" si="734"/>
        <v>100</v>
      </c>
      <c r="AC2196" s="22">
        <f t="shared" si="731"/>
        <v>41250000</v>
      </c>
      <c r="AD2196" s="19">
        <f t="shared" si="735"/>
        <v>100</v>
      </c>
    </row>
    <row r="2197" spans="1:30">
      <c r="A2197" s="72"/>
      <c r="B2197" s="13">
        <f t="shared" si="736"/>
        <v>5</v>
      </c>
      <c r="C2197" s="74" t="s">
        <v>215</v>
      </c>
      <c r="D2197" s="74" t="s">
        <v>36</v>
      </c>
      <c r="E2197" s="204"/>
      <c r="F2197" s="97">
        <v>1</v>
      </c>
      <c r="G2197" s="545" t="s">
        <v>1845</v>
      </c>
      <c r="H2197" s="590">
        <v>0</v>
      </c>
      <c r="I2197" s="559" t="s">
        <v>1845</v>
      </c>
      <c r="J2197" s="15">
        <v>15000000</v>
      </c>
      <c r="K2197" s="99">
        <v>15000000</v>
      </c>
      <c r="L2197" s="13"/>
      <c r="M2197" s="17"/>
      <c r="N2197" s="17"/>
      <c r="O2197" s="17"/>
      <c r="P2197" s="17"/>
      <c r="Q2197" s="17"/>
      <c r="R2197" s="17"/>
      <c r="S2197" s="17"/>
      <c r="T2197" s="17"/>
      <c r="U2197" s="17"/>
      <c r="V2197" s="17"/>
      <c r="W2197" s="17"/>
      <c r="X2197" s="17"/>
      <c r="Y2197" s="53">
        <f t="shared" si="732"/>
        <v>99.426666666666662</v>
      </c>
      <c r="Z2197" s="53">
        <f t="shared" si="733"/>
        <v>99.426666666666662</v>
      </c>
      <c r="AA2197" s="22">
        <v>14914000</v>
      </c>
      <c r="AB2197" s="19">
        <f t="shared" si="734"/>
        <v>99.426666666666662</v>
      </c>
      <c r="AC2197" s="22">
        <f t="shared" si="731"/>
        <v>14914000</v>
      </c>
      <c r="AD2197" s="19">
        <f t="shared" si="735"/>
        <v>99.426666666666662</v>
      </c>
    </row>
    <row r="2198" spans="1:30" ht="25.5">
      <c r="A2198" s="72"/>
      <c r="B2198" s="13">
        <f t="shared" si="736"/>
        <v>6</v>
      </c>
      <c r="C2198" s="74" t="s">
        <v>216</v>
      </c>
      <c r="D2198" s="21" t="s">
        <v>38</v>
      </c>
      <c r="E2198" s="204"/>
      <c r="F2198" s="97">
        <v>1</v>
      </c>
      <c r="G2198" s="545" t="s">
        <v>1845</v>
      </c>
      <c r="H2198" s="590">
        <v>0</v>
      </c>
      <c r="I2198" s="559" t="s">
        <v>1845</v>
      </c>
      <c r="J2198" s="15">
        <v>8000000</v>
      </c>
      <c r="K2198" s="99">
        <v>8000000</v>
      </c>
      <c r="L2198" s="13"/>
      <c r="M2198" s="17"/>
      <c r="N2198" s="17"/>
      <c r="O2198" s="17"/>
      <c r="P2198" s="17"/>
      <c r="Q2198" s="17"/>
      <c r="R2198" s="17"/>
      <c r="S2198" s="17"/>
      <c r="T2198" s="17"/>
      <c r="U2198" s="17"/>
      <c r="V2198" s="17"/>
      <c r="W2198" s="17"/>
      <c r="X2198" s="17"/>
      <c r="Y2198" s="53">
        <f t="shared" si="732"/>
        <v>100</v>
      </c>
      <c r="Z2198" s="53">
        <f t="shared" si="733"/>
        <v>100</v>
      </c>
      <c r="AA2198" s="22">
        <v>8000000</v>
      </c>
      <c r="AB2198" s="19">
        <f t="shared" si="734"/>
        <v>100</v>
      </c>
      <c r="AC2198" s="22">
        <f t="shared" si="731"/>
        <v>8000000</v>
      </c>
      <c r="AD2198" s="19">
        <f t="shared" si="735"/>
        <v>100</v>
      </c>
    </row>
    <row r="2199" spans="1:30" ht="27">
      <c r="B2199" s="13"/>
      <c r="C2199" s="86" t="s">
        <v>1245</v>
      </c>
      <c r="D2199" s="86" t="s">
        <v>1246</v>
      </c>
      <c r="E2199" s="485"/>
      <c r="F2199" s="97"/>
      <c r="G2199" s="545" t="s">
        <v>1845</v>
      </c>
      <c r="H2199" s="590">
        <v>0</v>
      </c>
      <c r="I2199" s="559" t="s">
        <v>1845</v>
      </c>
      <c r="J2199" s="88"/>
      <c r="K2199" s="88"/>
      <c r="L2199" s="13"/>
      <c r="M2199" s="17"/>
      <c r="N2199" s="17"/>
      <c r="O2199" s="17"/>
      <c r="P2199" s="17"/>
      <c r="Q2199" s="17"/>
      <c r="R2199" s="17"/>
      <c r="S2199" s="17"/>
      <c r="T2199" s="17"/>
      <c r="U2199" s="17"/>
      <c r="V2199" s="17"/>
      <c r="W2199" s="17"/>
      <c r="X2199" s="17"/>
      <c r="Y2199" s="53"/>
      <c r="Z2199" s="53"/>
      <c r="AA2199" s="22"/>
      <c r="AB2199" s="19"/>
      <c r="AC2199" s="22"/>
      <c r="AD2199" s="19"/>
    </row>
    <row r="2200" spans="1:30">
      <c r="B2200" s="13">
        <f>B2198+1</f>
        <v>7</v>
      </c>
      <c r="C2200" s="74" t="s">
        <v>219</v>
      </c>
      <c r="D2200" s="74" t="s">
        <v>1247</v>
      </c>
      <c r="E2200" s="204"/>
      <c r="F2200" s="97">
        <v>1</v>
      </c>
      <c r="G2200" s="545" t="s">
        <v>1845</v>
      </c>
      <c r="H2200" s="590">
        <v>0</v>
      </c>
      <c r="I2200" s="559" t="s">
        <v>1845</v>
      </c>
      <c r="J2200" s="15">
        <v>86749000</v>
      </c>
      <c r="K2200" s="99">
        <v>116840000</v>
      </c>
      <c r="L2200" s="13"/>
      <c r="M2200" s="17"/>
      <c r="N2200" s="17"/>
      <c r="O2200" s="17"/>
      <c r="P2200" s="17"/>
      <c r="Q2200" s="17"/>
      <c r="R2200" s="17"/>
      <c r="S2200" s="17"/>
      <c r="T2200" s="17"/>
      <c r="U2200" s="17"/>
      <c r="V2200" s="17"/>
      <c r="W2200" s="17"/>
      <c r="X2200" s="17"/>
      <c r="Y2200" s="53">
        <f t="shared" si="732"/>
        <v>91.423057172201311</v>
      </c>
      <c r="Z2200" s="53">
        <f t="shared" si="733"/>
        <v>91.423057172201311</v>
      </c>
      <c r="AA2200" s="22">
        <v>106818700</v>
      </c>
      <c r="AB2200" s="19">
        <f>AA2200/K2200*100</f>
        <v>91.423057172201311</v>
      </c>
      <c r="AC2200" s="22">
        <f t="shared" ref="AC2200:AC2215" si="737">AA2200</f>
        <v>106818700</v>
      </c>
      <c r="AD2200" s="19">
        <f t="shared" si="735"/>
        <v>91.423057172201311</v>
      </c>
    </row>
    <row r="2201" spans="1:30">
      <c r="B2201" s="13">
        <f t="shared" si="736"/>
        <v>8</v>
      </c>
      <c r="C2201" s="74" t="s">
        <v>221</v>
      </c>
      <c r="D2201" s="74" t="s">
        <v>1248</v>
      </c>
      <c r="E2201" s="204"/>
      <c r="F2201" s="97">
        <v>1</v>
      </c>
      <c r="G2201" s="545" t="s">
        <v>1845</v>
      </c>
      <c r="H2201" s="590">
        <v>0</v>
      </c>
      <c r="I2201" s="559" t="s">
        <v>1845</v>
      </c>
      <c r="J2201" s="15">
        <v>37480000</v>
      </c>
      <c r="K2201" s="99">
        <v>37480000</v>
      </c>
      <c r="L2201" s="13"/>
      <c r="M2201" s="17"/>
      <c r="N2201" s="17"/>
      <c r="O2201" s="17"/>
      <c r="P2201" s="17"/>
      <c r="Q2201" s="17"/>
      <c r="R2201" s="17"/>
      <c r="S2201" s="17"/>
      <c r="T2201" s="17"/>
      <c r="U2201" s="17"/>
      <c r="V2201" s="17"/>
      <c r="W2201" s="17"/>
      <c r="X2201" s="17"/>
      <c r="Y2201" s="53">
        <f t="shared" si="732"/>
        <v>95.154749199573104</v>
      </c>
      <c r="Z2201" s="53">
        <f t="shared" si="733"/>
        <v>95.154749199573104</v>
      </c>
      <c r="AA2201" s="22">
        <v>35664000</v>
      </c>
      <c r="AB2201" s="19">
        <f t="shared" ref="AB2201:AB2214" si="738">AA2201/K2201*100</f>
        <v>95.154749199573104</v>
      </c>
      <c r="AC2201" s="22">
        <f t="shared" si="737"/>
        <v>35664000</v>
      </c>
      <c r="AD2201" s="19">
        <f t="shared" si="735"/>
        <v>95.154749199573104</v>
      </c>
    </row>
    <row r="2202" spans="1:30" ht="27">
      <c r="B2202" s="13">
        <f>B2201+1</f>
        <v>9</v>
      </c>
      <c r="C2202" s="74" t="s">
        <v>564</v>
      </c>
      <c r="D2202" s="74" t="s">
        <v>1249</v>
      </c>
      <c r="E2202" s="204"/>
      <c r="F2202" s="97">
        <v>1</v>
      </c>
      <c r="G2202" s="545" t="s">
        <v>1845</v>
      </c>
      <c r="H2202" s="590">
        <v>0</v>
      </c>
      <c r="I2202" s="559" t="s">
        <v>1845</v>
      </c>
      <c r="J2202" s="15">
        <v>32023000</v>
      </c>
      <c r="K2202" s="99">
        <v>32023000</v>
      </c>
      <c r="L2202" s="13"/>
      <c r="M2202" s="17"/>
      <c r="N2202" s="17"/>
      <c r="O2202" s="17"/>
      <c r="P2202" s="17"/>
      <c r="Q2202" s="17"/>
      <c r="R2202" s="17"/>
      <c r="S2202" s="17"/>
      <c r="T2202" s="17"/>
      <c r="U2202" s="17"/>
      <c r="V2202" s="17"/>
      <c r="W2202" s="17"/>
      <c r="X2202" s="17"/>
      <c r="Y2202" s="53">
        <f t="shared" si="732"/>
        <v>99.177934609499417</v>
      </c>
      <c r="Z2202" s="53">
        <f t="shared" si="733"/>
        <v>99.177934609499417</v>
      </c>
      <c r="AA2202" s="22">
        <v>31759750</v>
      </c>
      <c r="AB2202" s="19">
        <f t="shared" si="738"/>
        <v>99.177934609499417</v>
      </c>
      <c r="AC2202" s="22">
        <f t="shared" si="737"/>
        <v>31759750</v>
      </c>
      <c r="AD2202" s="19">
        <f t="shared" si="735"/>
        <v>99.177934609499417</v>
      </c>
    </row>
    <row r="2203" spans="1:30" ht="27">
      <c r="B2203" s="13">
        <f t="shared" si="736"/>
        <v>10</v>
      </c>
      <c r="C2203" s="74" t="s">
        <v>644</v>
      </c>
      <c r="D2203" s="74" t="s">
        <v>1250</v>
      </c>
      <c r="E2203" s="512"/>
      <c r="F2203" s="97">
        <v>1</v>
      </c>
      <c r="G2203" s="545" t="s">
        <v>1845</v>
      </c>
      <c r="H2203" s="590">
        <v>0</v>
      </c>
      <c r="I2203" s="559" t="s">
        <v>1845</v>
      </c>
      <c r="J2203" s="15">
        <v>20000000</v>
      </c>
      <c r="K2203" s="99">
        <v>20000000</v>
      </c>
      <c r="L2203" s="13"/>
      <c r="M2203" s="17"/>
      <c r="N2203" s="17"/>
      <c r="O2203" s="17"/>
      <c r="P2203" s="17"/>
      <c r="Q2203" s="17"/>
      <c r="R2203" s="17"/>
      <c r="S2203" s="17"/>
      <c r="T2203" s="17"/>
      <c r="U2203" s="17"/>
      <c r="V2203" s="17"/>
      <c r="W2203" s="17"/>
      <c r="X2203" s="17"/>
      <c r="Y2203" s="53">
        <f t="shared" si="732"/>
        <v>99.929999999999993</v>
      </c>
      <c r="Z2203" s="53">
        <f t="shared" si="733"/>
        <v>99.929999999999993</v>
      </c>
      <c r="AA2203" s="22">
        <v>19986000</v>
      </c>
      <c r="AB2203" s="19">
        <f t="shared" si="738"/>
        <v>99.929999999999993</v>
      </c>
      <c r="AC2203" s="22">
        <f t="shared" si="737"/>
        <v>19986000</v>
      </c>
      <c r="AD2203" s="19">
        <f t="shared" si="735"/>
        <v>99.929999999999993</v>
      </c>
    </row>
    <row r="2204" spans="1:30" ht="27">
      <c r="B2204" s="13">
        <f t="shared" si="736"/>
        <v>11</v>
      </c>
      <c r="C2204" s="74" t="s">
        <v>664</v>
      </c>
      <c r="D2204" s="74" t="s">
        <v>1251</v>
      </c>
      <c r="E2204" s="204"/>
      <c r="F2204" s="97">
        <v>1</v>
      </c>
      <c r="G2204" s="545" t="s">
        <v>1845</v>
      </c>
      <c r="H2204" s="590">
        <v>0</v>
      </c>
      <c r="I2204" s="559" t="s">
        <v>1845</v>
      </c>
      <c r="J2204" s="15">
        <v>29895000</v>
      </c>
      <c r="K2204" s="99">
        <v>29895000</v>
      </c>
      <c r="L2204" s="13"/>
      <c r="M2204" s="17"/>
      <c r="N2204" s="17"/>
      <c r="O2204" s="17"/>
      <c r="P2204" s="17"/>
      <c r="Q2204" s="17"/>
      <c r="R2204" s="17"/>
      <c r="S2204" s="17"/>
      <c r="T2204" s="17"/>
      <c r="U2204" s="17"/>
      <c r="V2204" s="17"/>
      <c r="W2204" s="17"/>
      <c r="X2204" s="17"/>
      <c r="Y2204" s="53">
        <f t="shared" si="732"/>
        <v>83.910352901823046</v>
      </c>
      <c r="Z2204" s="53">
        <f t="shared" si="733"/>
        <v>83.910352901823046</v>
      </c>
      <c r="AA2204" s="22">
        <v>25085000</v>
      </c>
      <c r="AB2204" s="19">
        <f t="shared" si="738"/>
        <v>83.910352901823046</v>
      </c>
      <c r="AC2204" s="22">
        <f t="shared" si="737"/>
        <v>25085000</v>
      </c>
      <c r="AD2204" s="19">
        <f t="shared" si="735"/>
        <v>83.910352901823046</v>
      </c>
    </row>
    <row r="2205" spans="1:30" ht="27">
      <c r="B2205" s="13">
        <f t="shared" si="736"/>
        <v>12</v>
      </c>
      <c r="C2205" s="74" t="s">
        <v>666</v>
      </c>
      <c r="D2205" s="74" t="s">
        <v>1252</v>
      </c>
      <c r="E2205" s="204"/>
      <c r="F2205" s="97">
        <v>1</v>
      </c>
      <c r="G2205" s="545" t="s">
        <v>1845</v>
      </c>
      <c r="H2205" s="590">
        <v>0</v>
      </c>
      <c r="I2205" s="559" t="s">
        <v>1845</v>
      </c>
      <c r="J2205" s="15">
        <v>14925000</v>
      </c>
      <c r="K2205" s="99">
        <v>14925000</v>
      </c>
      <c r="L2205" s="13"/>
      <c r="M2205" s="17"/>
      <c r="N2205" s="17"/>
      <c r="O2205" s="17"/>
      <c r="P2205" s="17"/>
      <c r="Q2205" s="17"/>
      <c r="R2205" s="17"/>
      <c r="S2205" s="17"/>
      <c r="T2205" s="17"/>
      <c r="U2205" s="17"/>
      <c r="V2205" s="17"/>
      <c r="W2205" s="17"/>
      <c r="X2205" s="17"/>
      <c r="Y2205" s="53">
        <f t="shared" si="732"/>
        <v>100</v>
      </c>
      <c r="Z2205" s="53">
        <f t="shared" si="733"/>
        <v>100</v>
      </c>
      <c r="AA2205" s="22">
        <v>14925000</v>
      </c>
      <c r="AB2205" s="19">
        <f t="shared" si="738"/>
        <v>100</v>
      </c>
      <c r="AC2205" s="22">
        <f t="shared" si="737"/>
        <v>14925000</v>
      </c>
      <c r="AD2205" s="19">
        <f t="shared" si="735"/>
        <v>100</v>
      </c>
    </row>
    <row r="2206" spans="1:30">
      <c r="B2206" s="13">
        <f t="shared" si="736"/>
        <v>13</v>
      </c>
      <c r="C2206" s="74" t="s">
        <v>602</v>
      </c>
      <c r="D2206" s="74" t="s">
        <v>1253</v>
      </c>
      <c r="E2206" s="204"/>
      <c r="F2206" s="97">
        <v>1</v>
      </c>
      <c r="G2206" s="545" t="s">
        <v>1845</v>
      </c>
      <c r="H2206" s="590">
        <v>0</v>
      </c>
      <c r="I2206" s="559" t="s">
        <v>1845</v>
      </c>
      <c r="J2206" s="15">
        <v>31140000</v>
      </c>
      <c r="K2206" s="99">
        <v>31140000</v>
      </c>
      <c r="L2206" s="13"/>
      <c r="M2206" s="17"/>
      <c r="N2206" s="17"/>
      <c r="O2206" s="17"/>
      <c r="P2206" s="17"/>
      <c r="Q2206" s="17"/>
      <c r="R2206" s="17"/>
      <c r="S2206" s="17"/>
      <c r="T2206" s="17"/>
      <c r="U2206" s="17"/>
      <c r="V2206" s="17"/>
      <c r="W2206" s="17"/>
      <c r="X2206" s="17"/>
      <c r="Y2206" s="53">
        <f t="shared" si="732"/>
        <v>99.309569685292232</v>
      </c>
      <c r="Z2206" s="53">
        <f t="shared" si="733"/>
        <v>99.309569685292232</v>
      </c>
      <c r="AA2206" s="22">
        <v>30925000</v>
      </c>
      <c r="AB2206" s="19">
        <f t="shared" si="738"/>
        <v>99.309569685292232</v>
      </c>
      <c r="AC2206" s="22">
        <f t="shared" si="737"/>
        <v>30925000</v>
      </c>
      <c r="AD2206" s="19">
        <f t="shared" si="735"/>
        <v>99.309569685292232</v>
      </c>
    </row>
    <row r="2207" spans="1:30" ht="40.5">
      <c r="B2207" s="13">
        <f t="shared" si="736"/>
        <v>14</v>
      </c>
      <c r="C2207" s="74" t="s">
        <v>604</v>
      </c>
      <c r="D2207" s="74" t="s">
        <v>1254</v>
      </c>
      <c r="E2207" s="204"/>
      <c r="F2207" s="97">
        <v>1</v>
      </c>
      <c r="G2207" s="545" t="s">
        <v>1845</v>
      </c>
      <c r="H2207" s="590">
        <v>0</v>
      </c>
      <c r="I2207" s="559" t="s">
        <v>1845</v>
      </c>
      <c r="J2207" s="15">
        <v>20592000</v>
      </c>
      <c r="K2207" s="99">
        <v>20592000</v>
      </c>
      <c r="L2207" s="13"/>
      <c r="M2207" s="17"/>
      <c r="N2207" s="17"/>
      <c r="O2207" s="17"/>
      <c r="P2207" s="17"/>
      <c r="Q2207" s="17"/>
      <c r="R2207" s="17"/>
      <c r="S2207" s="17"/>
      <c r="T2207" s="17"/>
      <c r="U2207" s="17"/>
      <c r="V2207" s="17"/>
      <c r="W2207" s="17"/>
      <c r="X2207" s="17"/>
      <c r="Y2207" s="53">
        <f t="shared" si="732"/>
        <v>100</v>
      </c>
      <c r="Z2207" s="53">
        <f t="shared" si="733"/>
        <v>100</v>
      </c>
      <c r="AA2207" s="22">
        <v>20592000</v>
      </c>
      <c r="AB2207" s="19">
        <f t="shared" si="738"/>
        <v>100</v>
      </c>
      <c r="AC2207" s="22">
        <f t="shared" si="737"/>
        <v>20592000</v>
      </c>
      <c r="AD2207" s="19">
        <f t="shared" si="735"/>
        <v>100</v>
      </c>
    </row>
    <row r="2208" spans="1:30">
      <c r="B2208" s="13">
        <f t="shared" si="736"/>
        <v>15</v>
      </c>
      <c r="C2208" s="174">
        <v>15.010999999999999</v>
      </c>
      <c r="D2208" s="21" t="s">
        <v>1255</v>
      </c>
      <c r="E2208" s="204"/>
      <c r="F2208" s="97">
        <v>1</v>
      </c>
      <c r="G2208" s="545" t="s">
        <v>1845</v>
      </c>
      <c r="H2208" s="590">
        <v>0</v>
      </c>
      <c r="I2208" s="559" t="s">
        <v>1845</v>
      </c>
      <c r="J2208" s="15">
        <v>160000000</v>
      </c>
      <c r="K2208" s="99">
        <v>160000000</v>
      </c>
      <c r="L2208" s="13"/>
      <c r="M2208" s="17"/>
      <c r="N2208" s="17"/>
      <c r="O2208" s="17"/>
      <c r="P2208" s="17"/>
      <c r="Q2208" s="17"/>
      <c r="R2208" s="17"/>
      <c r="S2208" s="17"/>
      <c r="T2208" s="17"/>
      <c r="U2208" s="17"/>
      <c r="V2208" s="17"/>
      <c r="W2208" s="17"/>
      <c r="X2208" s="17"/>
      <c r="Y2208" s="53">
        <f t="shared" si="732"/>
        <v>88.414375000000007</v>
      </c>
      <c r="Z2208" s="53">
        <f t="shared" si="733"/>
        <v>88.414375000000007</v>
      </c>
      <c r="AA2208" s="22">
        <v>141463000</v>
      </c>
      <c r="AB2208" s="19">
        <f t="shared" si="738"/>
        <v>88.414375000000007</v>
      </c>
      <c r="AC2208" s="22">
        <f t="shared" si="737"/>
        <v>141463000</v>
      </c>
      <c r="AD2208" s="19">
        <f t="shared" si="735"/>
        <v>88.414375000000007</v>
      </c>
    </row>
    <row r="2209" spans="2:30" ht="25.5">
      <c r="B2209" s="13">
        <f t="shared" si="736"/>
        <v>16</v>
      </c>
      <c r="C2209" s="174">
        <v>15.012</v>
      </c>
      <c r="D2209" s="21" t="s">
        <v>1256</v>
      </c>
      <c r="E2209" s="204"/>
      <c r="F2209" s="97">
        <v>1</v>
      </c>
      <c r="G2209" s="545" t="s">
        <v>1845</v>
      </c>
      <c r="H2209" s="590">
        <v>0</v>
      </c>
      <c r="I2209" s="559" t="s">
        <v>1845</v>
      </c>
      <c r="J2209" s="15">
        <v>30000000</v>
      </c>
      <c r="K2209" s="99">
        <v>30000000</v>
      </c>
      <c r="L2209" s="13"/>
      <c r="M2209" s="17"/>
      <c r="N2209" s="17"/>
      <c r="O2209" s="17"/>
      <c r="P2209" s="17"/>
      <c r="Q2209" s="17"/>
      <c r="R2209" s="17"/>
      <c r="S2209" s="17"/>
      <c r="T2209" s="17"/>
      <c r="U2209" s="17"/>
      <c r="V2209" s="17"/>
      <c r="W2209" s="17"/>
      <c r="X2209" s="17"/>
      <c r="Y2209" s="53">
        <f t="shared" si="732"/>
        <v>99.998333333333335</v>
      </c>
      <c r="Z2209" s="53">
        <f>AB2209</f>
        <v>99.998333333333335</v>
      </c>
      <c r="AA2209" s="22">
        <v>29999500</v>
      </c>
      <c r="AB2209" s="19">
        <f t="shared" si="738"/>
        <v>99.998333333333335</v>
      </c>
      <c r="AC2209" s="22">
        <f t="shared" si="737"/>
        <v>29999500</v>
      </c>
      <c r="AD2209" s="19">
        <f t="shared" si="735"/>
        <v>99.998333333333335</v>
      </c>
    </row>
    <row r="2210" spans="2:30" ht="25.5">
      <c r="B2210" s="13">
        <f t="shared" si="736"/>
        <v>17</v>
      </c>
      <c r="C2210" s="174">
        <v>15.013</v>
      </c>
      <c r="D2210" s="21" t="s">
        <v>1257</v>
      </c>
      <c r="E2210" s="204"/>
      <c r="F2210" s="97">
        <v>1</v>
      </c>
      <c r="G2210" s="545" t="s">
        <v>1845</v>
      </c>
      <c r="H2210" s="590">
        <v>0</v>
      </c>
      <c r="I2210" s="559" t="s">
        <v>1845</v>
      </c>
      <c r="J2210" s="15">
        <v>218000000</v>
      </c>
      <c r="K2210" s="99">
        <v>218000000</v>
      </c>
      <c r="L2210" s="13"/>
      <c r="M2210" s="17"/>
      <c r="N2210" s="17"/>
      <c r="O2210" s="17"/>
      <c r="P2210" s="17"/>
      <c r="Q2210" s="17"/>
      <c r="R2210" s="17"/>
      <c r="S2210" s="17"/>
      <c r="T2210" s="17"/>
      <c r="U2210" s="17"/>
      <c r="V2210" s="17"/>
      <c r="W2210" s="17"/>
      <c r="X2210" s="17"/>
      <c r="Y2210" s="53">
        <f t="shared" si="732"/>
        <v>95.87155963302753</v>
      </c>
      <c r="Z2210" s="53">
        <f t="shared" ref="Z2210:Z2212" si="739">AB2210</f>
        <v>95.87155963302753</v>
      </c>
      <c r="AA2210" s="22">
        <v>209000000</v>
      </c>
      <c r="AB2210" s="19">
        <f t="shared" si="738"/>
        <v>95.87155963302753</v>
      </c>
      <c r="AC2210" s="22">
        <f t="shared" si="737"/>
        <v>209000000</v>
      </c>
      <c r="AD2210" s="19">
        <f t="shared" si="735"/>
        <v>95.87155963302753</v>
      </c>
    </row>
    <row r="2211" spans="2:30" ht="25.5">
      <c r="B2211" s="13">
        <f t="shared" si="736"/>
        <v>18</v>
      </c>
      <c r="C2211" s="174">
        <v>15.013999999999999</v>
      </c>
      <c r="D2211" s="21" t="s">
        <v>1258</v>
      </c>
      <c r="E2211" s="204"/>
      <c r="F2211" s="97">
        <v>1</v>
      </c>
      <c r="G2211" s="545" t="s">
        <v>1845</v>
      </c>
      <c r="H2211" s="590">
        <v>0</v>
      </c>
      <c r="I2211" s="559" t="s">
        <v>1845</v>
      </c>
      <c r="J2211" s="15">
        <v>264354000</v>
      </c>
      <c r="K2211" s="99">
        <v>123104000</v>
      </c>
      <c r="L2211" s="13"/>
      <c r="M2211" s="17"/>
      <c r="N2211" s="17"/>
      <c r="O2211" s="17"/>
      <c r="P2211" s="17"/>
      <c r="Q2211" s="17"/>
      <c r="R2211" s="17"/>
      <c r="S2211" s="17"/>
      <c r="T2211" s="17"/>
      <c r="U2211" s="17"/>
      <c r="V2211" s="17"/>
      <c r="W2211" s="17"/>
      <c r="X2211" s="17"/>
      <c r="Y2211" s="53">
        <f t="shared" si="732"/>
        <v>17.466938523524824</v>
      </c>
      <c r="Z2211" s="53">
        <f t="shared" si="739"/>
        <v>17.466938523524824</v>
      </c>
      <c r="AA2211" s="22">
        <v>21502500</v>
      </c>
      <c r="AB2211" s="19">
        <f t="shared" si="738"/>
        <v>17.466938523524824</v>
      </c>
      <c r="AC2211" s="22">
        <f t="shared" si="737"/>
        <v>21502500</v>
      </c>
      <c r="AD2211" s="19">
        <f t="shared" si="735"/>
        <v>17.466938523524824</v>
      </c>
    </row>
    <row r="2212" spans="2:30">
      <c r="B2212" s="13">
        <f t="shared" si="736"/>
        <v>19</v>
      </c>
      <c r="C2212" s="174">
        <v>15.015000000000001</v>
      </c>
      <c r="D2212" s="21" t="s">
        <v>1259</v>
      </c>
      <c r="E2212" s="204"/>
      <c r="F2212" s="97">
        <v>1</v>
      </c>
      <c r="G2212" s="545" t="s">
        <v>1845</v>
      </c>
      <c r="H2212" s="590">
        <v>0</v>
      </c>
      <c r="I2212" s="559" t="s">
        <v>1845</v>
      </c>
      <c r="J2212" s="15">
        <v>60000000</v>
      </c>
      <c r="K2212" s="99">
        <v>60000000</v>
      </c>
      <c r="L2212" s="13"/>
      <c r="M2212" s="17"/>
      <c r="N2212" s="17"/>
      <c r="O2212" s="17"/>
      <c r="P2212" s="17"/>
      <c r="Q2212" s="17"/>
      <c r="R2212" s="17"/>
      <c r="S2212" s="17"/>
      <c r="T2212" s="17"/>
      <c r="U2212" s="17"/>
      <c r="V2212" s="17"/>
      <c r="W2212" s="17"/>
      <c r="X2212" s="17"/>
      <c r="Y2212" s="53">
        <f t="shared" si="732"/>
        <v>74.205750000000009</v>
      </c>
      <c r="Z2212" s="53">
        <f t="shared" si="739"/>
        <v>74.205750000000009</v>
      </c>
      <c r="AA2212" s="22">
        <v>44523450</v>
      </c>
      <c r="AB2212" s="19">
        <f t="shared" si="738"/>
        <v>74.205750000000009</v>
      </c>
      <c r="AC2212" s="22">
        <f t="shared" si="737"/>
        <v>44523450</v>
      </c>
      <c r="AD2212" s="19">
        <f t="shared" si="735"/>
        <v>74.205750000000009</v>
      </c>
    </row>
    <row r="2213" spans="2:30" ht="38.25">
      <c r="B2213" s="13">
        <f t="shared" si="736"/>
        <v>20</v>
      </c>
      <c r="C2213" s="174">
        <v>15.016</v>
      </c>
      <c r="D2213" s="75" t="s">
        <v>2354</v>
      </c>
      <c r="E2213" s="204"/>
      <c r="F2213" s="97"/>
      <c r="G2213" s="545"/>
      <c r="H2213" s="590"/>
      <c r="I2213" s="559"/>
      <c r="J2213" s="15"/>
      <c r="K2213" s="99">
        <v>145000000</v>
      </c>
      <c r="L2213" s="13"/>
      <c r="M2213" s="17"/>
      <c r="N2213" s="17"/>
      <c r="O2213" s="17"/>
      <c r="P2213" s="17"/>
      <c r="Q2213" s="17"/>
      <c r="R2213" s="17"/>
      <c r="S2213" s="17"/>
      <c r="T2213" s="17"/>
      <c r="U2213" s="17"/>
      <c r="V2213" s="17"/>
      <c r="W2213" s="17"/>
      <c r="X2213" s="17"/>
      <c r="Y2213" s="53">
        <f t="shared" ref="Y2213:Y2214" si="740">AB2213</f>
        <v>92.245862068965508</v>
      </c>
      <c r="Z2213" s="53">
        <f t="shared" ref="Z2213:Z2214" si="741">AB2213</f>
        <v>92.245862068965508</v>
      </c>
      <c r="AA2213" s="22">
        <v>133756500</v>
      </c>
      <c r="AB2213" s="19">
        <f t="shared" si="738"/>
        <v>92.245862068965508</v>
      </c>
      <c r="AC2213" s="22">
        <f t="shared" si="737"/>
        <v>133756500</v>
      </c>
      <c r="AD2213" s="19">
        <f t="shared" si="735"/>
        <v>92.245862068965508</v>
      </c>
    </row>
    <row r="2214" spans="2:30">
      <c r="B2214" s="13">
        <f t="shared" si="736"/>
        <v>21</v>
      </c>
      <c r="C2214" s="174">
        <v>15.016999999999999</v>
      </c>
      <c r="D2214" s="58" t="s">
        <v>2355</v>
      </c>
      <c r="E2214" s="204"/>
      <c r="F2214" s="97"/>
      <c r="G2214" s="545"/>
      <c r="H2214" s="590"/>
      <c r="I2214" s="559"/>
      <c r="J2214" s="15"/>
      <c r="K2214" s="99">
        <v>55827000</v>
      </c>
      <c r="L2214" s="13"/>
      <c r="M2214" s="17"/>
      <c r="N2214" s="17"/>
      <c r="O2214" s="17"/>
      <c r="P2214" s="17"/>
      <c r="Q2214" s="17"/>
      <c r="R2214" s="17"/>
      <c r="S2214" s="17"/>
      <c r="T2214" s="17"/>
      <c r="U2214" s="17"/>
      <c r="V2214" s="17"/>
      <c r="W2214" s="17"/>
      <c r="X2214" s="17"/>
      <c r="Y2214" s="53">
        <f t="shared" si="740"/>
        <v>78.700270478442334</v>
      </c>
      <c r="Z2214" s="53">
        <f t="shared" si="741"/>
        <v>78.700270478442334</v>
      </c>
      <c r="AA2214" s="22">
        <v>43936000</v>
      </c>
      <c r="AB2214" s="19">
        <f t="shared" si="738"/>
        <v>78.700270478442334</v>
      </c>
      <c r="AC2214" s="22">
        <f t="shared" si="737"/>
        <v>43936000</v>
      </c>
      <c r="AD2214" s="19">
        <f t="shared" si="735"/>
        <v>78.700270478442334</v>
      </c>
    </row>
    <row r="2215" spans="2:30" ht="27">
      <c r="B2215" s="13"/>
      <c r="C2215" s="86" t="s">
        <v>1260</v>
      </c>
      <c r="D2215" s="86" t="s">
        <v>1261</v>
      </c>
      <c r="E2215" s="485"/>
      <c r="F2215" s="97"/>
      <c r="G2215" s="545" t="s">
        <v>1845</v>
      </c>
      <c r="H2215" s="590">
        <v>0</v>
      </c>
      <c r="I2215" s="559" t="s">
        <v>1845</v>
      </c>
      <c r="J2215" s="88"/>
      <c r="K2215" s="88"/>
      <c r="L2215" s="13"/>
      <c r="M2215" s="17"/>
      <c r="N2215" s="17"/>
      <c r="O2215" s="17"/>
      <c r="P2215" s="17"/>
      <c r="Q2215" s="17"/>
      <c r="R2215" s="17"/>
      <c r="S2215" s="17"/>
      <c r="T2215" s="17"/>
      <c r="U2215" s="17"/>
      <c r="V2215" s="17"/>
      <c r="W2215" s="17"/>
      <c r="X2215" s="17"/>
      <c r="Y2215" s="53"/>
      <c r="Z2215" s="53"/>
      <c r="AA2215" s="22"/>
      <c r="AB2215" s="19"/>
      <c r="AC2215" s="22">
        <f t="shared" si="737"/>
        <v>0</v>
      </c>
      <c r="AD2215" s="19"/>
    </row>
    <row r="2216" spans="2:30">
      <c r="B2216" s="13">
        <f>B2214+1</f>
        <v>22</v>
      </c>
      <c r="C2216" s="74" t="s">
        <v>375</v>
      </c>
      <c r="D2216" s="74" t="s">
        <v>1262</v>
      </c>
      <c r="E2216" s="204"/>
      <c r="F2216" s="97">
        <v>1</v>
      </c>
      <c r="G2216" s="545" t="s">
        <v>1845</v>
      </c>
      <c r="H2216" s="590">
        <v>0</v>
      </c>
      <c r="I2216" s="559" t="s">
        <v>1845</v>
      </c>
      <c r="J2216" s="15">
        <v>8000000</v>
      </c>
      <c r="K2216" s="99">
        <v>8000000</v>
      </c>
      <c r="L2216" s="13"/>
      <c r="M2216" s="17"/>
      <c r="N2216" s="17"/>
      <c r="O2216" s="17"/>
      <c r="P2216" s="17"/>
      <c r="Q2216" s="17"/>
      <c r="R2216" s="17"/>
      <c r="S2216" s="17"/>
      <c r="T2216" s="17"/>
      <c r="U2216" s="17"/>
      <c r="V2216" s="17"/>
      <c r="W2216" s="17"/>
      <c r="X2216" s="17"/>
      <c r="Y2216" s="53">
        <f t="shared" si="732"/>
        <v>90.34375</v>
      </c>
      <c r="Z2216" s="53">
        <f t="shared" si="733"/>
        <v>90.34375</v>
      </c>
      <c r="AA2216" s="22">
        <v>7227500</v>
      </c>
      <c r="AB2216" s="19">
        <f>AA2216/K2216*100</f>
        <v>90.34375</v>
      </c>
      <c r="AC2216" s="22">
        <f t="shared" ref="AC2216:AC2223" si="742">AA2216</f>
        <v>7227500</v>
      </c>
      <c r="AD2216" s="19">
        <f t="shared" si="735"/>
        <v>90.34375</v>
      </c>
    </row>
    <row r="2217" spans="2:30" ht="27">
      <c r="B2217" s="13">
        <f t="shared" si="736"/>
        <v>23</v>
      </c>
      <c r="C2217" s="74" t="s">
        <v>377</v>
      </c>
      <c r="D2217" s="74" t="s">
        <v>1263</v>
      </c>
      <c r="E2217" s="204"/>
      <c r="F2217" s="97">
        <v>1</v>
      </c>
      <c r="G2217" s="545" t="s">
        <v>1845</v>
      </c>
      <c r="H2217" s="590">
        <v>0</v>
      </c>
      <c r="I2217" s="559" t="s">
        <v>1845</v>
      </c>
      <c r="J2217" s="15">
        <v>12000000</v>
      </c>
      <c r="K2217" s="99">
        <v>12000000</v>
      </c>
      <c r="L2217" s="13"/>
      <c r="M2217" s="17"/>
      <c r="N2217" s="17"/>
      <c r="O2217" s="17"/>
      <c r="P2217" s="17"/>
      <c r="Q2217" s="17"/>
      <c r="R2217" s="17"/>
      <c r="S2217" s="17"/>
      <c r="T2217" s="17"/>
      <c r="U2217" s="17"/>
      <c r="V2217" s="17"/>
      <c r="W2217" s="17"/>
      <c r="X2217" s="17"/>
      <c r="Y2217" s="53">
        <f t="shared" si="732"/>
        <v>89.995833333333337</v>
      </c>
      <c r="Z2217" s="53">
        <f t="shared" si="733"/>
        <v>89.995833333333337</v>
      </c>
      <c r="AA2217" s="22">
        <v>10799500</v>
      </c>
      <c r="AB2217" s="19">
        <f t="shared" ref="AB2217:AB2223" si="743">AA2217/K2217*100</f>
        <v>89.995833333333337</v>
      </c>
      <c r="AC2217" s="22">
        <f t="shared" si="742"/>
        <v>10799500</v>
      </c>
      <c r="AD2217" s="19">
        <f t="shared" si="735"/>
        <v>89.995833333333337</v>
      </c>
    </row>
    <row r="2218" spans="2:30" ht="27">
      <c r="B2218" s="13">
        <f t="shared" si="736"/>
        <v>24</v>
      </c>
      <c r="C2218" s="74" t="s">
        <v>614</v>
      </c>
      <c r="D2218" s="74" t="s">
        <v>1264</v>
      </c>
      <c r="E2218" s="204"/>
      <c r="F2218" s="97">
        <v>1</v>
      </c>
      <c r="G2218" s="545" t="s">
        <v>1845</v>
      </c>
      <c r="H2218" s="590">
        <v>0</v>
      </c>
      <c r="I2218" s="559" t="s">
        <v>1845</v>
      </c>
      <c r="J2218" s="15">
        <v>21140000</v>
      </c>
      <c r="K2218" s="99">
        <v>21140000</v>
      </c>
      <c r="L2218" s="13"/>
      <c r="M2218" s="17"/>
      <c r="N2218" s="17"/>
      <c r="O2218" s="17"/>
      <c r="P2218" s="17"/>
      <c r="Q2218" s="17"/>
      <c r="R2218" s="17"/>
      <c r="S2218" s="17"/>
      <c r="T2218" s="17"/>
      <c r="U2218" s="17"/>
      <c r="V2218" s="17"/>
      <c r="W2218" s="17"/>
      <c r="X2218" s="17"/>
      <c r="Y2218" s="53">
        <f t="shared" si="732"/>
        <v>98.77010406811732</v>
      </c>
      <c r="Z2218" s="53">
        <f t="shared" si="733"/>
        <v>98.77010406811732</v>
      </c>
      <c r="AA2218" s="22">
        <v>20880000</v>
      </c>
      <c r="AB2218" s="19">
        <f t="shared" si="743"/>
        <v>98.77010406811732</v>
      </c>
      <c r="AC2218" s="22">
        <f t="shared" si="742"/>
        <v>20880000</v>
      </c>
      <c r="AD2218" s="19">
        <f t="shared" si="735"/>
        <v>98.77010406811732</v>
      </c>
    </row>
    <row r="2219" spans="2:30" ht="32.25" customHeight="1">
      <c r="B2219" s="13">
        <f t="shared" si="736"/>
        <v>25</v>
      </c>
      <c r="C2219" s="74" t="s">
        <v>379</v>
      </c>
      <c r="D2219" s="74" t="s">
        <v>1265</v>
      </c>
      <c r="E2219" s="204"/>
      <c r="F2219" s="97">
        <v>1</v>
      </c>
      <c r="G2219" s="545" t="s">
        <v>1845</v>
      </c>
      <c r="H2219" s="590">
        <v>0</v>
      </c>
      <c r="I2219" s="559" t="s">
        <v>1845</v>
      </c>
      <c r="J2219" s="15">
        <v>54957000</v>
      </c>
      <c r="K2219" s="99">
        <v>54957000</v>
      </c>
      <c r="L2219" s="13"/>
      <c r="M2219" s="17"/>
      <c r="N2219" s="17"/>
      <c r="O2219" s="17"/>
      <c r="P2219" s="17"/>
      <c r="Q2219" s="17"/>
      <c r="R2219" s="17"/>
      <c r="S2219" s="17"/>
      <c r="T2219" s="17"/>
      <c r="U2219" s="17"/>
      <c r="V2219" s="17"/>
      <c r="W2219" s="17"/>
      <c r="X2219" s="17"/>
      <c r="Y2219" s="53">
        <f t="shared" si="732"/>
        <v>54.508979747802833</v>
      </c>
      <c r="Z2219" s="53">
        <f t="shared" si="733"/>
        <v>54.508979747802833</v>
      </c>
      <c r="AA2219" s="22">
        <v>29956500</v>
      </c>
      <c r="AB2219" s="19">
        <f t="shared" si="743"/>
        <v>54.508979747802833</v>
      </c>
      <c r="AC2219" s="22">
        <f t="shared" si="742"/>
        <v>29956500</v>
      </c>
      <c r="AD2219" s="19">
        <f t="shared" si="735"/>
        <v>54.508979747802833</v>
      </c>
    </row>
    <row r="2220" spans="2:30" ht="18.75" customHeight="1">
      <c r="B2220" s="13">
        <f>B2219+1</f>
        <v>26</v>
      </c>
      <c r="C2220" s="74" t="s">
        <v>381</v>
      </c>
      <c r="D2220" s="74" t="s">
        <v>1266</v>
      </c>
      <c r="E2220" s="204"/>
      <c r="F2220" s="97">
        <v>1</v>
      </c>
      <c r="G2220" s="550" t="s">
        <v>1845</v>
      </c>
      <c r="H2220" s="590">
        <v>0</v>
      </c>
      <c r="I2220" s="559" t="s">
        <v>1845</v>
      </c>
      <c r="J2220" s="15">
        <v>25302000</v>
      </c>
      <c r="K2220" s="99">
        <v>25302000</v>
      </c>
      <c r="L2220" s="13"/>
      <c r="M2220" s="17"/>
      <c r="N2220" s="17"/>
      <c r="O2220" s="17"/>
      <c r="P2220" s="17"/>
      <c r="Q2220" s="17"/>
      <c r="R2220" s="17"/>
      <c r="S2220" s="17"/>
      <c r="T2220" s="17"/>
      <c r="U2220" s="17"/>
      <c r="V2220" s="17"/>
      <c r="W2220" s="17"/>
      <c r="X2220" s="17"/>
      <c r="Y2220" s="53">
        <f t="shared" si="732"/>
        <v>92.885937870524074</v>
      </c>
      <c r="Z2220" s="53">
        <f t="shared" si="733"/>
        <v>92.885937870524074</v>
      </c>
      <c r="AA2220" s="22">
        <v>23502000</v>
      </c>
      <c r="AB2220" s="19">
        <f t="shared" si="743"/>
        <v>92.885937870524074</v>
      </c>
      <c r="AC2220" s="22">
        <f t="shared" si="742"/>
        <v>23502000</v>
      </c>
      <c r="AD2220" s="19">
        <f t="shared" si="735"/>
        <v>92.885937870524074</v>
      </c>
    </row>
    <row r="2221" spans="2:30" ht="35.25" customHeight="1">
      <c r="B2221" s="13">
        <f>B2220+1</f>
        <v>27</v>
      </c>
      <c r="C2221" s="74" t="s">
        <v>771</v>
      </c>
      <c r="D2221" s="74" t="s">
        <v>1267</v>
      </c>
      <c r="E2221" s="512"/>
      <c r="F2221" s="97">
        <v>1</v>
      </c>
      <c r="G2221" s="556" t="s">
        <v>1845</v>
      </c>
      <c r="H2221" s="590">
        <v>0</v>
      </c>
      <c r="I2221" s="559" t="s">
        <v>1845</v>
      </c>
      <c r="J2221" s="15">
        <v>15000000</v>
      </c>
      <c r="K2221" s="99">
        <v>15000000</v>
      </c>
      <c r="L2221" s="13"/>
      <c r="M2221" s="17"/>
      <c r="N2221" s="17"/>
      <c r="O2221" s="17"/>
      <c r="P2221" s="17"/>
      <c r="Q2221" s="17"/>
      <c r="R2221" s="17"/>
      <c r="S2221" s="17"/>
      <c r="T2221" s="17"/>
      <c r="U2221" s="17"/>
      <c r="V2221" s="17"/>
      <c r="W2221" s="17"/>
      <c r="X2221" s="17"/>
      <c r="Y2221" s="53">
        <f t="shared" si="732"/>
        <v>64.91</v>
      </c>
      <c r="Z2221" s="53">
        <f t="shared" si="733"/>
        <v>64.91</v>
      </c>
      <c r="AA2221" s="22">
        <v>9736500</v>
      </c>
      <c r="AB2221" s="19">
        <f t="shared" si="743"/>
        <v>64.91</v>
      </c>
      <c r="AC2221" s="22">
        <f t="shared" si="742"/>
        <v>9736500</v>
      </c>
      <c r="AD2221" s="19">
        <f t="shared" si="735"/>
        <v>64.91</v>
      </c>
    </row>
    <row r="2222" spans="2:30" ht="33.75" customHeight="1">
      <c r="B2222" s="13">
        <f t="shared" si="736"/>
        <v>28</v>
      </c>
      <c r="C2222" s="81">
        <v>16.012</v>
      </c>
      <c r="D2222" s="21" t="s">
        <v>1268</v>
      </c>
      <c r="E2222" s="204"/>
      <c r="F2222" s="97">
        <v>1</v>
      </c>
      <c r="G2222" s="552" t="s">
        <v>1845</v>
      </c>
      <c r="H2222" s="591">
        <v>0</v>
      </c>
      <c r="I2222" s="562" t="s">
        <v>1845</v>
      </c>
      <c r="J2222" s="15">
        <v>19546000</v>
      </c>
      <c r="K2222" s="99">
        <v>19546000</v>
      </c>
      <c r="L2222" s="13"/>
      <c r="M2222" s="17"/>
      <c r="N2222" s="17"/>
      <c r="O2222" s="17"/>
      <c r="P2222" s="17"/>
      <c r="Q2222" s="17"/>
      <c r="R2222" s="17"/>
      <c r="S2222" s="17"/>
      <c r="T2222" s="17"/>
      <c r="U2222" s="17"/>
      <c r="V2222" s="17"/>
      <c r="W2222" s="17"/>
      <c r="X2222" s="17"/>
      <c r="Y2222" s="53">
        <f t="shared" si="732"/>
        <v>38.573109587639415</v>
      </c>
      <c r="Z2222" s="53">
        <f t="shared" si="733"/>
        <v>38.573109587639415</v>
      </c>
      <c r="AA2222" s="22">
        <v>7539500</v>
      </c>
      <c r="AB2222" s="19">
        <f t="shared" si="743"/>
        <v>38.573109587639415</v>
      </c>
      <c r="AC2222" s="22">
        <f t="shared" si="742"/>
        <v>7539500</v>
      </c>
      <c r="AD2222" s="19">
        <f t="shared" si="735"/>
        <v>38.573109587639415</v>
      </c>
    </row>
    <row r="2223" spans="2:30" ht="33.75" customHeight="1">
      <c r="B2223" s="13">
        <f t="shared" si="736"/>
        <v>29</v>
      </c>
      <c r="C2223" s="81">
        <v>16.013999999999999</v>
      </c>
      <c r="D2223" s="17" t="s">
        <v>2356</v>
      </c>
      <c r="E2223" s="347"/>
      <c r="F2223" s="749"/>
      <c r="G2223" s="614"/>
      <c r="H2223" s="744"/>
      <c r="I2223" s="562"/>
      <c r="J2223" s="598"/>
      <c r="K2223" s="99">
        <v>18000000</v>
      </c>
      <c r="L2223" s="47"/>
      <c r="M2223" s="51"/>
      <c r="N2223" s="51"/>
      <c r="O2223" s="51"/>
      <c r="P2223" s="51"/>
      <c r="Q2223" s="51"/>
      <c r="R2223" s="51"/>
      <c r="S2223" s="51"/>
      <c r="T2223" s="51"/>
      <c r="U2223" s="51"/>
      <c r="V2223" s="51"/>
      <c r="W2223" s="51"/>
      <c r="X2223" s="51"/>
      <c r="Y2223" s="53">
        <f t="shared" ref="Y2223" si="744">AB2223</f>
        <v>99.999722222222218</v>
      </c>
      <c r="Z2223" s="53">
        <f t="shared" ref="Z2223" si="745">AD2223</f>
        <v>99.999722222222218</v>
      </c>
      <c r="AA2223" s="112">
        <v>17999950</v>
      </c>
      <c r="AB2223" s="19">
        <f t="shared" si="743"/>
        <v>99.999722222222218</v>
      </c>
      <c r="AC2223" s="112">
        <f t="shared" si="742"/>
        <v>17999950</v>
      </c>
      <c r="AD2223" s="19">
        <f t="shared" si="735"/>
        <v>99.999722222222218</v>
      </c>
    </row>
    <row r="2224" spans="2:30" ht="15.75" customHeight="1">
      <c r="B2224" s="37">
        <v>169</v>
      </c>
      <c r="C2224" s="855" t="s">
        <v>1269</v>
      </c>
      <c r="D2224" s="855"/>
      <c r="E2224" s="483"/>
      <c r="F2224" s="537">
        <v>29</v>
      </c>
      <c r="G2224" s="521" t="s">
        <v>1845</v>
      </c>
      <c r="H2224" s="592">
        <f>SUM(H2193:H2222)</f>
        <v>0</v>
      </c>
      <c r="I2224" s="521" t="s">
        <v>1845</v>
      </c>
      <c r="J2224" s="35">
        <f>SUM(J2193:J2222)</f>
        <v>1657375000</v>
      </c>
      <c r="K2224" s="35">
        <f>SUM(K2193:K2223)</f>
        <v>1910098000</v>
      </c>
      <c r="L2224" s="295"/>
      <c r="M2224" s="28"/>
      <c r="N2224" s="28"/>
      <c r="O2224" s="28"/>
      <c r="P2224" s="28"/>
      <c r="Q2224" s="28"/>
      <c r="R2224" s="465" t="s">
        <v>1458</v>
      </c>
      <c r="S2224" s="465"/>
      <c r="T2224" s="539" t="s">
        <v>1459</v>
      </c>
      <c r="U2224" s="539" t="s">
        <v>1459</v>
      </c>
      <c r="V2224" s="539" t="s">
        <v>1459</v>
      </c>
      <c r="W2224" s="539" t="s">
        <v>1459</v>
      </c>
      <c r="X2224" s="539"/>
      <c r="Y2224" s="84">
        <f>SUM(Y2193:Y2223)/29</f>
        <v>86.950895658187676</v>
      </c>
      <c r="Z2224" s="84">
        <f>SUM(Z2193:Z2223)/29</f>
        <v>86.950895658187676</v>
      </c>
      <c r="AA2224" s="68">
        <f>SUM(AA2193:AA2223)</f>
        <v>1622734324</v>
      </c>
      <c r="AB2224" s="84">
        <f>SUM(AB2193:AB2223)/29</f>
        <v>86.950895658187676</v>
      </c>
      <c r="AC2224" s="68">
        <f>SUM(AC2193:AC2223)</f>
        <v>1622734324</v>
      </c>
      <c r="AD2224" s="84">
        <f>SUM(AD2193:AD2223)/29</f>
        <v>86.950895658187676</v>
      </c>
    </row>
    <row r="2225" spans="2:30">
      <c r="B2225" s="66"/>
      <c r="C2225" s="63" t="s">
        <v>1270</v>
      </c>
      <c r="D2225" s="64" t="s">
        <v>1271</v>
      </c>
      <c r="E2225" s="484"/>
      <c r="F2225" s="506"/>
      <c r="G2225" s="472"/>
      <c r="H2225" s="506"/>
      <c r="I2225" s="472"/>
      <c r="J2225" s="65"/>
      <c r="K2225" s="65"/>
      <c r="L2225" s="66"/>
      <c r="M2225" s="63"/>
      <c r="N2225" s="63"/>
      <c r="O2225" s="63"/>
      <c r="P2225" s="63"/>
      <c r="Q2225" s="63"/>
      <c r="R2225" s="63"/>
      <c r="S2225" s="63"/>
      <c r="T2225" s="63"/>
      <c r="U2225" s="63"/>
      <c r="V2225" s="63"/>
      <c r="W2225" s="63"/>
      <c r="X2225" s="63"/>
      <c r="Y2225" s="63"/>
      <c r="Z2225" s="63"/>
      <c r="AA2225" s="63"/>
      <c r="AB2225" s="63"/>
      <c r="AC2225" s="63"/>
      <c r="AD2225" s="63"/>
    </row>
    <row r="2226" spans="2:30" ht="27">
      <c r="B2226" s="13"/>
      <c r="C2226" s="86" t="s">
        <v>873</v>
      </c>
      <c r="D2226" s="86" t="s">
        <v>874</v>
      </c>
      <c r="E2226" s="485"/>
      <c r="F2226" s="485"/>
      <c r="G2226" s="441"/>
      <c r="H2226" s="87"/>
      <c r="I2226" s="87"/>
      <c r="J2226" s="88"/>
      <c r="K2226" s="88"/>
      <c r="L2226" s="13"/>
      <c r="M2226" s="17"/>
      <c r="N2226" s="17"/>
      <c r="O2226" s="17"/>
      <c r="P2226" s="17"/>
      <c r="Q2226" s="17"/>
      <c r="R2226" s="17"/>
      <c r="S2226" s="17"/>
      <c r="T2226" s="17"/>
      <c r="U2226" s="17"/>
      <c r="V2226" s="17"/>
      <c r="W2226" s="17"/>
      <c r="X2226" s="17"/>
      <c r="Y2226" s="17"/>
      <c r="Z2226" s="17"/>
      <c r="AA2226" s="17"/>
      <c r="AB2226" s="17"/>
      <c r="AC2226" s="17"/>
      <c r="AD2226" s="17"/>
    </row>
    <row r="2227" spans="2:30">
      <c r="B2227" s="13">
        <v>1</v>
      </c>
      <c r="C2227" s="74" t="s">
        <v>219</v>
      </c>
      <c r="D2227" s="74" t="s">
        <v>1272</v>
      </c>
      <c r="E2227" s="204"/>
      <c r="F2227" s="204"/>
      <c r="G2227" s="193"/>
      <c r="H2227" s="89"/>
      <c r="I2227" s="89"/>
      <c r="J2227" s="15">
        <v>38635000</v>
      </c>
      <c r="K2227" s="99">
        <v>38635000</v>
      </c>
      <c r="L2227" s="13"/>
      <c r="M2227" s="17"/>
      <c r="N2227" s="17"/>
      <c r="O2227" s="17"/>
      <c r="P2227" s="17"/>
      <c r="Q2227" s="17"/>
      <c r="R2227" s="17"/>
      <c r="S2227" s="17"/>
      <c r="T2227" s="17"/>
      <c r="U2227" s="17"/>
      <c r="V2227" s="17"/>
      <c r="W2227" s="17"/>
      <c r="X2227" s="17"/>
      <c r="Y2227" s="53">
        <f>AB2227</f>
        <v>99.456451404167197</v>
      </c>
      <c r="Z2227" s="53">
        <f>AD2227</f>
        <v>99.456451404167197</v>
      </c>
      <c r="AA2227" s="22">
        <v>38425000</v>
      </c>
      <c r="AB2227" s="19">
        <f>AA2227/K2227*100</f>
        <v>99.456451404167197</v>
      </c>
      <c r="AC2227" s="22">
        <f>AA2227</f>
        <v>38425000</v>
      </c>
      <c r="AD2227" s="19">
        <f>AC2227/K2227*100</f>
        <v>99.456451404167197</v>
      </c>
    </row>
    <row r="2228" spans="2:30" ht="27">
      <c r="B2228" s="13">
        <f>1+B2227</f>
        <v>2</v>
      </c>
      <c r="C2228" s="74" t="s">
        <v>221</v>
      </c>
      <c r="D2228" s="74" t="s">
        <v>1273</v>
      </c>
      <c r="E2228" s="204"/>
      <c r="F2228" s="204"/>
      <c r="G2228" s="193"/>
      <c r="H2228" s="89"/>
      <c r="I2228" s="89"/>
      <c r="J2228" s="15">
        <v>29920000</v>
      </c>
      <c r="K2228" s="99">
        <v>29920000</v>
      </c>
      <c r="L2228" s="13"/>
      <c r="M2228" s="17"/>
      <c r="N2228" s="17"/>
      <c r="O2228" s="17"/>
      <c r="P2228" s="17"/>
      <c r="Q2228" s="17"/>
      <c r="R2228" s="17"/>
      <c r="S2228" s="17"/>
      <c r="T2228" s="17"/>
      <c r="U2228" s="17"/>
      <c r="V2228" s="17"/>
      <c r="W2228" s="17"/>
      <c r="X2228" s="17"/>
      <c r="Y2228" s="53">
        <f t="shared" ref="Y2228:Y2248" si="746">AB2228</f>
        <v>99.856283422459896</v>
      </c>
      <c r="Z2228" s="53">
        <f t="shared" ref="Z2228:Z2248" si="747">AD2228</f>
        <v>99.856283422459896</v>
      </c>
      <c r="AA2228" s="22">
        <v>29877000</v>
      </c>
      <c r="AB2228" s="19">
        <f t="shared" ref="AB2228:AB2249" si="748">AA2228/K2228*100</f>
        <v>99.856283422459896</v>
      </c>
      <c r="AC2228" s="22">
        <f t="shared" ref="AC2228:AC2249" si="749">AA2228</f>
        <v>29877000</v>
      </c>
      <c r="AD2228" s="19">
        <f t="shared" ref="AD2228:AD2249" si="750">AC2228/K2228*100</f>
        <v>99.856283422459896</v>
      </c>
    </row>
    <row r="2229" spans="2:30">
      <c r="B2229" s="13">
        <f t="shared" ref="B2229:B2249" si="751">1+B2228</f>
        <v>3</v>
      </c>
      <c r="C2229" s="74" t="s">
        <v>600</v>
      </c>
      <c r="D2229" s="74" t="s">
        <v>1274</v>
      </c>
      <c r="E2229" s="204"/>
      <c r="F2229" s="204"/>
      <c r="G2229" s="193"/>
      <c r="H2229" s="89"/>
      <c r="I2229" s="89"/>
      <c r="J2229" s="15">
        <v>30000000</v>
      </c>
      <c r="K2229" s="99">
        <v>30000000</v>
      </c>
      <c r="L2229" s="13"/>
      <c r="M2229" s="17"/>
      <c r="N2229" s="17"/>
      <c r="O2229" s="17"/>
      <c r="P2229" s="17"/>
      <c r="Q2229" s="17"/>
      <c r="R2229" s="17"/>
      <c r="S2229" s="17"/>
      <c r="T2229" s="17"/>
      <c r="U2229" s="17"/>
      <c r="V2229" s="17"/>
      <c r="W2229" s="17"/>
      <c r="X2229" s="17"/>
      <c r="Y2229" s="53">
        <f t="shared" si="746"/>
        <v>99.9</v>
      </c>
      <c r="Z2229" s="53">
        <f t="shared" si="747"/>
        <v>99.9</v>
      </c>
      <c r="AA2229" s="22">
        <v>29970000</v>
      </c>
      <c r="AB2229" s="19">
        <f t="shared" si="748"/>
        <v>99.9</v>
      </c>
      <c r="AC2229" s="22">
        <f t="shared" si="749"/>
        <v>29970000</v>
      </c>
      <c r="AD2229" s="19">
        <f t="shared" si="750"/>
        <v>99.9</v>
      </c>
    </row>
    <row r="2230" spans="2:30">
      <c r="B2230" s="13">
        <f t="shared" si="751"/>
        <v>4</v>
      </c>
      <c r="C2230" s="74" t="s">
        <v>564</v>
      </c>
      <c r="D2230" s="74" t="s">
        <v>1275</v>
      </c>
      <c r="E2230" s="204"/>
      <c r="F2230" s="204"/>
      <c r="G2230" s="193"/>
      <c r="H2230" s="89"/>
      <c r="I2230" s="89"/>
      <c r="J2230" s="15">
        <v>40000000</v>
      </c>
      <c r="K2230" s="99">
        <v>130480000</v>
      </c>
      <c r="L2230" s="13"/>
      <c r="M2230" s="17"/>
      <c r="N2230" s="17"/>
      <c r="O2230" s="17"/>
      <c r="P2230" s="17"/>
      <c r="Q2230" s="17"/>
      <c r="R2230" s="17"/>
      <c r="S2230" s="17"/>
      <c r="T2230" s="17"/>
      <c r="U2230" s="17"/>
      <c r="V2230" s="17"/>
      <c r="W2230" s="17"/>
      <c r="X2230" s="17"/>
      <c r="Y2230" s="53">
        <f t="shared" si="746"/>
        <v>99.36771919068056</v>
      </c>
      <c r="Z2230" s="53">
        <f t="shared" si="747"/>
        <v>99.36771919068056</v>
      </c>
      <c r="AA2230" s="22">
        <v>129655000</v>
      </c>
      <c r="AB2230" s="19">
        <f t="shared" si="748"/>
        <v>99.36771919068056</v>
      </c>
      <c r="AC2230" s="22">
        <f t="shared" si="749"/>
        <v>129655000</v>
      </c>
      <c r="AD2230" s="19">
        <f t="shared" si="750"/>
        <v>99.36771919068056</v>
      </c>
    </row>
    <row r="2231" spans="2:30" ht="27">
      <c r="B2231" s="13"/>
      <c r="C2231" s="86" t="s">
        <v>1270</v>
      </c>
      <c r="D2231" s="86" t="s">
        <v>26</v>
      </c>
      <c r="E2231" s="485"/>
      <c r="F2231" s="485"/>
      <c r="G2231" s="441"/>
      <c r="H2231" s="87"/>
      <c r="I2231" s="87"/>
      <c r="J2231" s="88"/>
      <c r="K2231" s="88"/>
      <c r="L2231" s="13"/>
      <c r="M2231" s="17"/>
      <c r="N2231" s="17"/>
      <c r="O2231" s="17"/>
      <c r="P2231" s="17"/>
      <c r="Q2231" s="17"/>
      <c r="R2231" s="17"/>
      <c r="S2231" s="17"/>
      <c r="T2231" s="17"/>
      <c r="U2231" s="17"/>
      <c r="V2231" s="17"/>
      <c r="W2231" s="17"/>
      <c r="X2231" s="17"/>
      <c r="Y2231" s="53"/>
      <c r="Z2231" s="53"/>
      <c r="AA2231" s="22"/>
      <c r="AB2231" s="19"/>
      <c r="AC2231" s="22"/>
      <c r="AD2231" s="19"/>
    </row>
    <row r="2232" spans="2:30">
      <c r="B2232" s="13">
        <f>1+B2230</f>
        <v>5</v>
      </c>
      <c r="C2232" s="74" t="s">
        <v>203</v>
      </c>
      <c r="D2232" s="74" t="s">
        <v>28</v>
      </c>
      <c r="E2232" s="204"/>
      <c r="F2232" s="204"/>
      <c r="G2232" s="193"/>
      <c r="H2232" s="89"/>
      <c r="I2232" s="89"/>
      <c r="J2232" s="15">
        <v>111951000</v>
      </c>
      <c r="K2232" s="99">
        <v>229961000</v>
      </c>
      <c r="L2232" s="13"/>
      <c r="M2232" s="17"/>
      <c r="N2232" s="17"/>
      <c r="O2232" s="17"/>
      <c r="P2232" s="17"/>
      <c r="Q2232" s="17"/>
      <c r="R2232" s="17"/>
      <c r="S2232" s="17"/>
      <c r="T2232" s="17"/>
      <c r="U2232" s="17"/>
      <c r="V2232" s="17"/>
      <c r="W2232" s="17"/>
      <c r="X2232" s="17"/>
      <c r="Y2232" s="53">
        <f t="shared" si="746"/>
        <v>78.763903444497103</v>
      </c>
      <c r="Z2232" s="53">
        <f t="shared" si="747"/>
        <v>78.763903444497103</v>
      </c>
      <c r="AA2232" s="22">
        <v>181126260</v>
      </c>
      <c r="AB2232" s="19">
        <f t="shared" si="748"/>
        <v>78.763903444497103</v>
      </c>
      <c r="AC2232" s="22">
        <f t="shared" si="749"/>
        <v>181126260</v>
      </c>
      <c r="AD2232" s="19">
        <f t="shared" si="750"/>
        <v>78.763903444497103</v>
      </c>
    </row>
    <row r="2233" spans="2:30">
      <c r="B2233" s="13">
        <f t="shared" si="751"/>
        <v>6</v>
      </c>
      <c r="C2233" s="74" t="s">
        <v>210</v>
      </c>
      <c r="D2233" s="74" t="s">
        <v>30</v>
      </c>
      <c r="E2233" s="204"/>
      <c r="F2233" s="204"/>
      <c r="G2233" s="193"/>
      <c r="H2233" s="89"/>
      <c r="I2233" s="89"/>
      <c r="J2233" s="15">
        <v>50000000</v>
      </c>
      <c r="K2233" s="99">
        <v>60000000</v>
      </c>
      <c r="L2233" s="13"/>
      <c r="M2233" s="17"/>
      <c r="N2233" s="17"/>
      <c r="O2233" s="17"/>
      <c r="P2233" s="17"/>
      <c r="Q2233" s="17"/>
      <c r="R2233" s="17"/>
      <c r="S2233" s="17"/>
      <c r="T2233" s="17"/>
      <c r="U2233" s="17"/>
      <c r="V2233" s="17"/>
      <c r="W2233" s="17"/>
      <c r="X2233" s="17"/>
      <c r="Y2233" s="53">
        <f t="shared" si="746"/>
        <v>95.073236666666674</v>
      </c>
      <c r="Z2233" s="53">
        <f t="shared" si="747"/>
        <v>95.073236666666674</v>
      </c>
      <c r="AA2233" s="22">
        <v>57043942</v>
      </c>
      <c r="AB2233" s="19">
        <f t="shared" si="748"/>
        <v>95.073236666666674</v>
      </c>
      <c r="AC2233" s="22">
        <f t="shared" si="749"/>
        <v>57043942</v>
      </c>
      <c r="AD2233" s="19">
        <f t="shared" si="750"/>
        <v>95.073236666666674</v>
      </c>
    </row>
    <row r="2234" spans="2:30">
      <c r="B2234" s="13">
        <f t="shared" si="751"/>
        <v>7</v>
      </c>
      <c r="C2234" s="74" t="s">
        <v>204</v>
      </c>
      <c r="D2234" s="74" t="s">
        <v>32</v>
      </c>
      <c r="E2234" s="204"/>
      <c r="F2234" s="204"/>
      <c r="G2234" s="193"/>
      <c r="H2234" s="89"/>
      <c r="I2234" s="89"/>
      <c r="J2234" s="15">
        <v>97742000</v>
      </c>
      <c r="K2234" s="99">
        <v>159795000</v>
      </c>
      <c r="L2234" s="13"/>
      <c r="M2234" s="17"/>
      <c r="N2234" s="17"/>
      <c r="O2234" s="17"/>
      <c r="P2234" s="17"/>
      <c r="Q2234" s="17"/>
      <c r="R2234" s="17"/>
      <c r="S2234" s="17"/>
      <c r="T2234" s="17"/>
      <c r="U2234" s="17"/>
      <c r="V2234" s="17"/>
      <c r="W2234" s="17"/>
      <c r="X2234" s="17"/>
      <c r="Y2234" s="53">
        <f t="shared" si="746"/>
        <v>85.502972558590699</v>
      </c>
      <c r="Z2234" s="53">
        <f t="shared" si="747"/>
        <v>85.502972558590699</v>
      </c>
      <c r="AA2234" s="22">
        <v>136629475</v>
      </c>
      <c r="AB2234" s="19">
        <f t="shared" si="748"/>
        <v>85.502972558590699</v>
      </c>
      <c r="AC2234" s="22">
        <f t="shared" si="749"/>
        <v>136629475</v>
      </c>
      <c r="AD2234" s="19">
        <f t="shared" si="750"/>
        <v>85.502972558590699</v>
      </c>
    </row>
    <row r="2235" spans="2:30">
      <c r="B2235" s="13">
        <f t="shared" si="751"/>
        <v>8</v>
      </c>
      <c r="C2235" s="74" t="s">
        <v>205</v>
      </c>
      <c r="D2235" s="74" t="s">
        <v>34</v>
      </c>
      <c r="E2235" s="204"/>
      <c r="F2235" s="204"/>
      <c r="G2235" s="193"/>
      <c r="H2235" s="89"/>
      <c r="I2235" s="89"/>
      <c r="J2235" s="15">
        <v>67750000</v>
      </c>
      <c r="K2235" s="99">
        <v>129101000</v>
      </c>
      <c r="L2235" s="13"/>
      <c r="M2235" s="17"/>
      <c r="N2235" s="17"/>
      <c r="O2235" s="17"/>
      <c r="P2235" s="17"/>
      <c r="Q2235" s="17"/>
      <c r="R2235" s="17"/>
      <c r="S2235" s="17"/>
      <c r="T2235" s="17"/>
      <c r="U2235" s="17"/>
      <c r="V2235" s="17"/>
      <c r="W2235" s="17"/>
      <c r="X2235" s="17"/>
      <c r="Y2235" s="53">
        <f t="shared" si="746"/>
        <v>99.457014275644653</v>
      </c>
      <c r="Z2235" s="53">
        <f t="shared" si="747"/>
        <v>99.457014275644653</v>
      </c>
      <c r="AA2235" s="22">
        <v>128400000</v>
      </c>
      <c r="AB2235" s="19">
        <f t="shared" si="748"/>
        <v>99.457014275644653</v>
      </c>
      <c r="AC2235" s="22">
        <f t="shared" si="749"/>
        <v>128400000</v>
      </c>
      <c r="AD2235" s="19">
        <f t="shared" si="750"/>
        <v>99.457014275644653</v>
      </c>
    </row>
    <row r="2236" spans="2:30">
      <c r="B2236" s="13">
        <f t="shared" si="751"/>
        <v>9</v>
      </c>
      <c r="C2236" s="74" t="s">
        <v>215</v>
      </c>
      <c r="D2236" s="74" t="s">
        <v>36</v>
      </c>
      <c r="E2236" s="204"/>
      <c r="F2236" s="204"/>
      <c r="G2236" s="193"/>
      <c r="H2236" s="89"/>
      <c r="I2236" s="89"/>
      <c r="J2236" s="15">
        <v>10000000</v>
      </c>
      <c r="K2236" s="99">
        <v>10000000</v>
      </c>
      <c r="L2236" s="13"/>
      <c r="M2236" s="17"/>
      <c r="N2236" s="17"/>
      <c r="O2236" s="17"/>
      <c r="P2236" s="17"/>
      <c r="Q2236" s="17"/>
      <c r="R2236" s="17"/>
      <c r="S2236" s="17"/>
      <c r="T2236" s="17"/>
      <c r="U2236" s="17"/>
      <c r="V2236" s="17"/>
      <c r="W2236" s="17"/>
      <c r="X2236" s="17"/>
      <c r="Y2236" s="53">
        <f t="shared" si="746"/>
        <v>91.627219999999994</v>
      </c>
      <c r="Z2236" s="53">
        <f t="shared" si="747"/>
        <v>91.627219999999994</v>
      </c>
      <c r="AA2236" s="22">
        <v>9162722</v>
      </c>
      <c r="AB2236" s="19">
        <f t="shared" si="748"/>
        <v>91.627219999999994</v>
      </c>
      <c r="AC2236" s="22">
        <f t="shared" si="749"/>
        <v>9162722</v>
      </c>
      <c r="AD2236" s="19">
        <f t="shared" si="750"/>
        <v>91.627219999999994</v>
      </c>
    </row>
    <row r="2237" spans="2:30" ht="25.5">
      <c r="B2237" s="13">
        <f t="shared" si="751"/>
        <v>10</v>
      </c>
      <c r="C2237" s="74" t="s">
        <v>216</v>
      </c>
      <c r="D2237" s="21" t="s">
        <v>38</v>
      </c>
      <c r="E2237" s="204"/>
      <c r="F2237" s="204"/>
      <c r="G2237" s="193"/>
      <c r="H2237" s="89"/>
      <c r="I2237" s="89"/>
      <c r="J2237" s="15">
        <v>8000000</v>
      </c>
      <c r="K2237" s="99">
        <v>8000000</v>
      </c>
      <c r="L2237" s="13"/>
      <c r="M2237" s="17"/>
      <c r="N2237" s="17"/>
      <c r="O2237" s="17"/>
      <c r="P2237" s="17"/>
      <c r="Q2237" s="17"/>
      <c r="R2237" s="17"/>
      <c r="S2237" s="17"/>
      <c r="T2237" s="17"/>
      <c r="U2237" s="17"/>
      <c r="V2237" s="17"/>
      <c r="W2237" s="17"/>
      <c r="X2237" s="17"/>
      <c r="Y2237" s="53">
        <f t="shared" si="746"/>
        <v>88.649999999999991</v>
      </c>
      <c r="Z2237" s="53">
        <f t="shared" si="747"/>
        <v>88.649999999999991</v>
      </c>
      <c r="AA2237" s="22">
        <v>7092000</v>
      </c>
      <c r="AB2237" s="19">
        <f t="shared" si="748"/>
        <v>88.649999999999991</v>
      </c>
      <c r="AC2237" s="22">
        <f t="shared" si="749"/>
        <v>7092000</v>
      </c>
      <c r="AD2237" s="19">
        <f t="shared" si="750"/>
        <v>88.649999999999991</v>
      </c>
    </row>
    <row r="2238" spans="2:30" ht="27">
      <c r="B2238" s="13"/>
      <c r="C2238" s="86" t="s">
        <v>1276</v>
      </c>
      <c r="D2238" s="86" t="s">
        <v>1277</v>
      </c>
      <c r="E2238" s="485"/>
      <c r="F2238" s="485"/>
      <c r="G2238" s="441"/>
      <c r="H2238" s="87"/>
      <c r="I2238" s="87"/>
      <c r="J2238" s="88"/>
      <c r="K2238" s="742"/>
      <c r="L2238" s="13"/>
      <c r="M2238" s="17"/>
      <c r="N2238" s="17"/>
      <c r="O2238" s="17"/>
      <c r="P2238" s="17"/>
      <c r="Q2238" s="17"/>
      <c r="R2238" s="17"/>
      <c r="S2238" s="17"/>
      <c r="T2238" s="17"/>
      <c r="U2238" s="17"/>
      <c r="V2238" s="17"/>
      <c r="W2238" s="17"/>
      <c r="X2238" s="17"/>
      <c r="Y2238" s="53"/>
      <c r="Z2238" s="53"/>
      <c r="AA2238" s="22"/>
      <c r="AB2238" s="19"/>
      <c r="AC2238" s="22"/>
      <c r="AD2238" s="19"/>
    </row>
    <row r="2239" spans="2:30">
      <c r="B2239" s="13">
        <f>1+B2237</f>
        <v>11</v>
      </c>
      <c r="C2239" s="81">
        <v>15.000999999999999</v>
      </c>
      <c r="D2239" s="21" t="s">
        <v>1278</v>
      </c>
      <c r="E2239" s="485"/>
      <c r="F2239" s="485"/>
      <c r="G2239" s="441"/>
      <c r="H2239" s="87"/>
      <c r="I2239" s="87"/>
      <c r="J2239" s="15">
        <v>75768000</v>
      </c>
      <c r="K2239" s="99">
        <v>75768000</v>
      </c>
      <c r="L2239" s="13"/>
      <c r="M2239" s="17"/>
      <c r="N2239" s="17"/>
      <c r="O2239" s="17"/>
      <c r="P2239" s="17"/>
      <c r="Q2239" s="17"/>
      <c r="R2239" s="17"/>
      <c r="S2239" s="17"/>
      <c r="T2239" s="17"/>
      <c r="U2239" s="17"/>
      <c r="V2239" s="17"/>
      <c r="W2239" s="17"/>
      <c r="X2239" s="17"/>
      <c r="Y2239" s="53">
        <f t="shared" si="746"/>
        <v>99.333491711540489</v>
      </c>
      <c r="Z2239" s="53">
        <f t="shared" si="747"/>
        <v>99.333491711540489</v>
      </c>
      <c r="AA2239" s="22">
        <v>75263000</v>
      </c>
      <c r="AB2239" s="19">
        <f t="shared" si="748"/>
        <v>99.333491711540489</v>
      </c>
      <c r="AC2239" s="22">
        <f t="shared" si="749"/>
        <v>75263000</v>
      </c>
      <c r="AD2239" s="19">
        <f t="shared" si="750"/>
        <v>99.333491711540489</v>
      </c>
    </row>
    <row r="2240" spans="2:30">
      <c r="B2240" s="13">
        <f>1+B2239</f>
        <v>12</v>
      </c>
      <c r="C2240" s="74" t="s">
        <v>221</v>
      </c>
      <c r="D2240" s="21" t="s">
        <v>1279</v>
      </c>
      <c r="E2240" s="204"/>
      <c r="F2240" s="204"/>
      <c r="G2240" s="193"/>
      <c r="H2240" s="89"/>
      <c r="I2240" s="89"/>
      <c r="J2240" s="15">
        <v>100000000</v>
      </c>
      <c r="K2240" s="99">
        <v>100000000</v>
      </c>
      <c r="L2240" s="13"/>
      <c r="M2240" s="17"/>
      <c r="N2240" s="17"/>
      <c r="O2240" s="17"/>
      <c r="P2240" s="17"/>
      <c r="Q2240" s="17"/>
      <c r="R2240" s="17"/>
      <c r="S2240" s="17"/>
      <c r="T2240" s="17"/>
      <c r="U2240" s="17"/>
      <c r="V2240" s="17"/>
      <c r="W2240" s="17"/>
      <c r="X2240" s="17"/>
      <c r="Y2240" s="53">
        <f t="shared" si="746"/>
        <v>99.894499999999994</v>
      </c>
      <c r="Z2240" s="53">
        <f t="shared" si="747"/>
        <v>99.894499999999994</v>
      </c>
      <c r="AA2240" s="22">
        <v>99894500</v>
      </c>
      <c r="AB2240" s="19">
        <f t="shared" si="748"/>
        <v>99.894499999999994</v>
      </c>
      <c r="AC2240" s="22">
        <f t="shared" si="749"/>
        <v>99894500</v>
      </c>
      <c r="AD2240" s="19">
        <f t="shared" si="750"/>
        <v>99.894499999999994</v>
      </c>
    </row>
    <row r="2241" spans="2:30">
      <c r="B2241" s="13">
        <f t="shared" si="751"/>
        <v>13</v>
      </c>
      <c r="C2241" s="74" t="s">
        <v>600</v>
      </c>
      <c r="D2241" s="21" t="s">
        <v>1280</v>
      </c>
      <c r="E2241" s="204"/>
      <c r="F2241" s="204"/>
      <c r="G2241" s="193"/>
      <c r="H2241" s="89"/>
      <c r="I2241" s="89"/>
      <c r="J2241" s="15">
        <v>20305000</v>
      </c>
      <c r="K2241" s="99">
        <v>20305000</v>
      </c>
      <c r="L2241" s="13"/>
      <c r="M2241" s="17"/>
      <c r="N2241" s="17"/>
      <c r="O2241" s="17"/>
      <c r="P2241" s="17"/>
      <c r="Q2241" s="17"/>
      <c r="R2241" s="17"/>
      <c r="S2241" s="17"/>
      <c r="T2241" s="17"/>
      <c r="U2241" s="17"/>
      <c r="V2241" s="17"/>
      <c r="W2241" s="17"/>
      <c r="X2241" s="17"/>
      <c r="Y2241" s="53">
        <f t="shared" si="746"/>
        <v>91.233686284166453</v>
      </c>
      <c r="Z2241" s="53">
        <f t="shared" si="747"/>
        <v>91.233686284166453</v>
      </c>
      <c r="AA2241" s="22">
        <v>18525000</v>
      </c>
      <c r="AB2241" s="19">
        <f t="shared" si="748"/>
        <v>91.233686284166453</v>
      </c>
      <c r="AC2241" s="22">
        <f t="shared" si="749"/>
        <v>18525000</v>
      </c>
      <c r="AD2241" s="19">
        <f t="shared" si="750"/>
        <v>91.233686284166453</v>
      </c>
    </row>
    <row r="2242" spans="2:30">
      <c r="B2242" s="13">
        <f t="shared" si="751"/>
        <v>14</v>
      </c>
      <c r="C2242" s="74" t="s">
        <v>644</v>
      </c>
      <c r="D2242" s="21" t="s">
        <v>1281</v>
      </c>
      <c r="E2242" s="204"/>
      <c r="F2242" s="204"/>
      <c r="G2242" s="193"/>
      <c r="H2242" s="89"/>
      <c r="I2242" s="89"/>
      <c r="J2242" s="15">
        <v>24980000</v>
      </c>
      <c r="K2242" s="99">
        <v>16430000</v>
      </c>
      <c r="L2242" s="13"/>
      <c r="M2242" s="17"/>
      <c r="N2242" s="17"/>
      <c r="O2242" s="17"/>
      <c r="P2242" s="17"/>
      <c r="Q2242" s="17"/>
      <c r="R2242" s="17"/>
      <c r="S2242" s="17"/>
      <c r="T2242" s="17"/>
      <c r="U2242" s="17"/>
      <c r="V2242" s="17"/>
      <c r="W2242" s="17"/>
      <c r="X2242" s="17"/>
      <c r="Y2242" s="53">
        <f t="shared" si="746"/>
        <v>96.89506999391358</v>
      </c>
      <c r="Z2242" s="53">
        <f t="shared" si="747"/>
        <v>96.89506999391358</v>
      </c>
      <c r="AA2242" s="22">
        <v>15919860</v>
      </c>
      <c r="AB2242" s="19">
        <f t="shared" si="748"/>
        <v>96.89506999391358</v>
      </c>
      <c r="AC2242" s="22">
        <f t="shared" si="749"/>
        <v>15919860</v>
      </c>
      <c r="AD2242" s="19">
        <f t="shared" si="750"/>
        <v>96.89506999391358</v>
      </c>
    </row>
    <row r="2243" spans="2:30" ht="25.5">
      <c r="B2243" s="13">
        <f t="shared" si="751"/>
        <v>15</v>
      </c>
      <c r="C2243" s="81">
        <v>15.007</v>
      </c>
      <c r="D2243" s="21" t="s">
        <v>1282</v>
      </c>
      <c r="E2243" s="204"/>
      <c r="F2243" s="204"/>
      <c r="G2243" s="193"/>
      <c r="H2243" s="89"/>
      <c r="I2243" s="89"/>
      <c r="J2243" s="15">
        <v>30832000</v>
      </c>
      <c r="K2243" s="99">
        <v>30832000</v>
      </c>
      <c r="L2243" s="13"/>
      <c r="M2243" s="17"/>
      <c r="N2243" s="17"/>
      <c r="O2243" s="17"/>
      <c r="P2243" s="17"/>
      <c r="Q2243" s="17"/>
      <c r="R2243" s="17"/>
      <c r="S2243" s="17"/>
      <c r="T2243" s="17"/>
      <c r="U2243" s="17"/>
      <c r="V2243" s="17"/>
      <c r="W2243" s="17"/>
      <c r="X2243" s="17"/>
      <c r="Y2243" s="53">
        <f t="shared" si="746"/>
        <v>100</v>
      </c>
      <c r="Z2243" s="53">
        <f t="shared" si="747"/>
        <v>100</v>
      </c>
      <c r="AA2243" s="22">
        <v>30832000</v>
      </c>
      <c r="AB2243" s="19">
        <f t="shared" si="748"/>
        <v>100</v>
      </c>
      <c r="AC2243" s="22">
        <f t="shared" si="749"/>
        <v>30832000</v>
      </c>
      <c r="AD2243" s="19">
        <f t="shared" si="750"/>
        <v>100</v>
      </c>
    </row>
    <row r="2244" spans="2:30">
      <c r="B2244" s="13">
        <f>1+B2243</f>
        <v>16</v>
      </c>
      <c r="C2244" s="74" t="s">
        <v>602</v>
      </c>
      <c r="D2244" s="74" t="s">
        <v>1283</v>
      </c>
      <c r="E2244" s="204"/>
      <c r="F2244" s="204"/>
      <c r="G2244" s="193"/>
      <c r="H2244" s="89"/>
      <c r="I2244" s="89"/>
      <c r="J2244" s="15">
        <v>11167000</v>
      </c>
      <c r="K2244" s="99">
        <v>11167000</v>
      </c>
      <c r="L2244" s="13"/>
      <c r="M2244" s="17"/>
      <c r="N2244" s="17"/>
      <c r="O2244" s="17"/>
      <c r="P2244" s="17"/>
      <c r="Q2244" s="17"/>
      <c r="R2244" s="17"/>
      <c r="S2244" s="17"/>
      <c r="T2244" s="17"/>
      <c r="U2244" s="17"/>
      <c r="V2244" s="17"/>
      <c r="W2244" s="17"/>
      <c r="X2244" s="17"/>
      <c r="Y2244" s="53">
        <f t="shared" si="746"/>
        <v>91.233097519477042</v>
      </c>
      <c r="Z2244" s="53">
        <f t="shared" si="747"/>
        <v>91.233097519477042</v>
      </c>
      <c r="AA2244" s="22">
        <v>10188000</v>
      </c>
      <c r="AB2244" s="19">
        <f t="shared" si="748"/>
        <v>91.233097519477042</v>
      </c>
      <c r="AC2244" s="22">
        <f t="shared" si="749"/>
        <v>10188000</v>
      </c>
      <c r="AD2244" s="19">
        <f t="shared" si="750"/>
        <v>91.233097519477042</v>
      </c>
    </row>
    <row r="2245" spans="2:30" ht="27">
      <c r="B2245" s="13">
        <f t="shared" si="751"/>
        <v>17</v>
      </c>
      <c r="C2245" s="74" t="s">
        <v>604</v>
      </c>
      <c r="D2245" s="74" t="s">
        <v>1284</v>
      </c>
      <c r="E2245" s="204"/>
      <c r="F2245" s="204"/>
      <c r="G2245" s="193"/>
      <c r="H2245" s="89"/>
      <c r="I2245" s="89"/>
      <c r="J2245" s="15">
        <v>20725000</v>
      </c>
      <c r="K2245" s="99">
        <v>20725000</v>
      </c>
      <c r="L2245" s="13"/>
      <c r="M2245" s="17"/>
      <c r="N2245" s="17"/>
      <c r="O2245" s="17"/>
      <c r="P2245" s="17"/>
      <c r="Q2245" s="17"/>
      <c r="R2245" s="17"/>
      <c r="S2245" s="17"/>
      <c r="T2245" s="17"/>
      <c r="U2245" s="17"/>
      <c r="V2245" s="17"/>
      <c r="W2245" s="17"/>
      <c r="X2245" s="17"/>
      <c r="Y2245" s="53">
        <f t="shared" si="746"/>
        <v>98.118214716525927</v>
      </c>
      <c r="Z2245" s="53">
        <f t="shared" si="747"/>
        <v>98.118214716525927</v>
      </c>
      <c r="AA2245" s="22">
        <v>20335000</v>
      </c>
      <c r="AB2245" s="19">
        <f t="shared" si="748"/>
        <v>98.118214716525927</v>
      </c>
      <c r="AC2245" s="22">
        <f t="shared" si="749"/>
        <v>20335000</v>
      </c>
      <c r="AD2245" s="19">
        <f t="shared" si="750"/>
        <v>98.118214716525927</v>
      </c>
    </row>
    <row r="2246" spans="2:30" ht="27">
      <c r="B2246" s="13">
        <f t="shared" si="751"/>
        <v>18</v>
      </c>
      <c r="C2246" s="74" t="s">
        <v>568</v>
      </c>
      <c r="D2246" s="74" t="s">
        <v>1285</v>
      </c>
      <c r="E2246" s="512"/>
      <c r="F2246" s="512"/>
      <c r="G2246" s="501"/>
      <c r="H2246" s="254"/>
      <c r="I2246" s="254"/>
      <c r="J2246" s="15">
        <v>12320000</v>
      </c>
      <c r="K2246" s="99">
        <v>12320000</v>
      </c>
      <c r="L2246" s="13"/>
      <c r="M2246" s="17"/>
      <c r="N2246" s="17"/>
      <c r="O2246" s="17"/>
      <c r="P2246" s="17"/>
      <c r="Q2246" s="17"/>
      <c r="R2246" s="17"/>
      <c r="S2246" s="17"/>
      <c r="T2246" s="17"/>
      <c r="U2246" s="17"/>
      <c r="V2246" s="17"/>
      <c r="W2246" s="17"/>
      <c r="X2246" s="17"/>
      <c r="Y2246" s="53">
        <f t="shared" si="746"/>
        <v>99.107142857142861</v>
      </c>
      <c r="Z2246" s="53">
        <f t="shared" si="747"/>
        <v>99.107142857142861</v>
      </c>
      <c r="AA2246" s="22">
        <v>12210000</v>
      </c>
      <c r="AB2246" s="19">
        <f t="shared" si="748"/>
        <v>99.107142857142861</v>
      </c>
      <c r="AC2246" s="22">
        <f t="shared" si="749"/>
        <v>12210000</v>
      </c>
      <c r="AD2246" s="19">
        <f t="shared" si="750"/>
        <v>99.107142857142861</v>
      </c>
    </row>
    <row r="2247" spans="2:30">
      <c r="B2247" s="13">
        <f t="shared" si="751"/>
        <v>19</v>
      </c>
      <c r="C2247" s="81">
        <v>15.013</v>
      </c>
      <c r="D2247" s="21" t="s">
        <v>1286</v>
      </c>
      <c r="E2247" s="204"/>
      <c r="F2247" s="204"/>
      <c r="G2247" s="193"/>
      <c r="H2247" s="89"/>
      <c r="I2247" s="89"/>
      <c r="J2247" s="15">
        <v>113692000</v>
      </c>
      <c r="K2247" s="99">
        <v>378038000</v>
      </c>
      <c r="L2247" s="13"/>
      <c r="M2247" s="17"/>
      <c r="N2247" s="17"/>
      <c r="O2247" s="17"/>
      <c r="P2247" s="17"/>
      <c r="Q2247" s="17"/>
      <c r="R2247" s="17"/>
      <c r="S2247" s="17"/>
      <c r="T2247" s="17"/>
      <c r="U2247" s="17"/>
      <c r="V2247" s="17"/>
      <c r="W2247" s="17"/>
      <c r="X2247" s="17"/>
      <c r="Y2247" s="53">
        <f t="shared" si="746"/>
        <v>98.097215094778832</v>
      </c>
      <c r="Z2247" s="53">
        <f t="shared" si="747"/>
        <v>98.097215094778832</v>
      </c>
      <c r="AA2247" s="22">
        <v>370844750</v>
      </c>
      <c r="AB2247" s="19">
        <f t="shared" si="748"/>
        <v>98.097215094778832</v>
      </c>
      <c r="AC2247" s="22">
        <f t="shared" si="749"/>
        <v>370844750</v>
      </c>
      <c r="AD2247" s="19">
        <f t="shared" si="750"/>
        <v>98.097215094778832</v>
      </c>
    </row>
    <row r="2248" spans="2:30">
      <c r="B2248" s="13">
        <f t="shared" si="751"/>
        <v>20</v>
      </c>
      <c r="C2248" s="116">
        <v>15.013999999999999</v>
      </c>
      <c r="D2248" s="21" t="s">
        <v>1287</v>
      </c>
      <c r="E2248" s="489"/>
      <c r="F2248" s="489"/>
      <c r="G2248" s="240"/>
      <c r="H2248" s="186"/>
      <c r="I2248" s="186"/>
      <c r="J2248" s="15">
        <v>12126000</v>
      </c>
      <c r="K2248" s="99">
        <v>12126000</v>
      </c>
      <c r="L2248" s="45"/>
      <c r="M2248" s="44"/>
      <c r="N2248" s="44"/>
      <c r="O2248" s="44"/>
      <c r="P2248" s="44"/>
      <c r="Q2248" s="44"/>
      <c r="R2248" s="44"/>
      <c r="S2248" s="44"/>
      <c r="T2248" s="44"/>
      <c r="U2248" s="44"/>
      <c r="V2248" s="44"/>
      <c r="W2248" s="44"/>
      <c r="X2248" s="44"/>
      <c r="Y2248" s="53">
        <f t="shared" si="746"/>
        <v>97.888833910605314</v>
      </c>
      <c r="Z2248" s="53">
        <f t="shared" si="747"/>
        <v>97.888833910605314</v>
      </c>
      <c r="AA2248" s="73">
        <v>11870000</v>
      </c>
      <c r="AB2248" s="19">
        <f t="shared" si="748"/>
        <v>97.888833910605314</v>
      </c>
      <c r="AC2248" s="73">
        <f t="shared" si="749"/>
        <v>11870000</v>
      </c>
      <c r="AD2248" s="19">
        <f t="shared" si="750"/>
        <v>97.888833910605314</v>
      </c>
    </row>
    <row r="2249" spans="2:30">
      <c r="B2249" s="13">
        <f t="shared" si="751"/>
        <v>21</v>
      </c>
      <c r="C2249" s="261"/>
      <c r="D2249" s="671" t="s">
        <v>2393</v>
      </c>
      <c r="E2249" s="347"/>
      <c r="F2249" s="347"/>
      <c r="G2249" s="498"/>
      <c r="H2249" s="105"/>
      <c r="I2249" s="105"/>
      <c r="J2249" s="598"/>
      <c r="K2249" s="206">
        <v>251250000</v>
      </c>
      <c r="L2249" s="47"/>
      <c r="M2249" s="51"/>
      <c r="N2249" s="51"/>
      <c r="O2249" s="51"/>
      <c r="P2249" s="51"/>
      <c r="Q2249" s="51"/>
      <c r="R2249" s="51"/>
      <c r="S2249" s="51"/>
      <c r="T2249" s="51"/>
      <c r="U2249" s="51"/>
      <c r="V2249" s="51"/>
      <c r="W2249" s="51"/>
      <c r="X2249" s="51"/>
      <c r="Y2249" s="53">
        <f t="shared" ref="Y2249" si="752">AB2249</f>
        <v>98.24875621890547</v>
      </c>
      <c r="Z2249" s="53">
        <f t="shared" ref="Z2249" si="753">AD2249</f>
        <v>98.24875621890547</v>
      </c>
      <c r="AA2249" s="112">
        <v>246850000</v>
      </c>
      <c r="AB2249" s="211">
        <f t="shared" si="748"/>
        <v>98.24875621890547</v>
      </c>
      <c r="AC2249" s="112">
        <f t="shared" si="749"/>
        <v>246850000</v>
      </c>
      <c r="AD2249" s="211">
        <f t="shared" si="750"/>
        <v>98.24875621890547</v>
      </c>
    </row>
    <row r="2250" spans="2:30">
      <c r="B2250" s="37">
        <v>170</v>
      </c>
      <c r="C2250" s="855" t="s">
        <v>1288</v>
      </c>
      <c r="D2250" s="855"/>
      <c r="E2250" s="483"/>
      <c r="F2250" s="483">
        <v>20</v>
      </c>
      <c r="G2250" s="468"/>
      <c r="H2250" s="526"/>
      <c r="I2250" s="468"/>
      <c r="J2250" s="35">
        <f>SUM(J2227:J2248)</f>
        <v>905913000</v>
      </c>
      <c r="K2250" s="35">
        <f>SUM(K2227:K2249)</f>
        <v>1754853000</v>
      </c>
      <c r="L2250" s="295"/>
      <c r="M2250" s="28"/>
      <c r="N2250" s="28"/>
      <c r="O2250" s="28"/>
      <c r="P2250" s="28"/>
      <c r="Q2250" s="28"/>
      <c r="R2250" s="28"/>
      <c r="S2250" s="28"/>
      <c r="T2250" s="28"/>
      <c r="U2250" s="28"/>
      <c r="V2250" s="28"/>
      <c r="W2250" s="28"/>
      <c r="X2250" s="28"/>
      <c r="Y2250" s="82">
        <f>SUM(Y2227:Y2248)/20</f>
        <v>95.472802652542853</v>
      </c>
      <c r="Z2250" s="82">
        <f>SUM(Z2227:Z2248)/21</f>
        <v>90.926478716707479</v>
      </c>
      <c r="AA2250" s="67">
        <f>SUM(AA2227:AA2249)</f>
        <v>1660113509</v>
      </c>
      <c r="AB2250" s="82">
        <f>SUM(AB2227:AB2248)/21</f>
        <v>90.926478716707479</v>
      </c>
      <c r="AC2250" s="67">
        <f>SUM(AC2227:AC2249)</f>
        <v>1660113509</v>
      </c>
      <c r="AD2250" s="82">
        <f>SUM(AD2227:AD2248)/21</f>
        <v>90.926478716707479</v>
      </c>
    </row>
    <row r="2251" spans="2:30" ht="18" customHeight="1">
      <c r="B2251" s="66"/>
      <c r="C2251" s="63" t="s">
        <v>1289</v>
      </c>
      <c r="D2251" s="64" t="s">
        <v>1290</v>
      </c>
      <c r="E2251" s="484"/>
      <c r="F2251" s="506"/>
      <c r="G2251" s="472"/>
      <c r="H2251" s="506"/>
      <c r="I2251" s="472"/>
      <c r="J2251" s="65"/>
      <c r="K2251" s="656"/>
      <c r="L2251" s="66" t="s">
        <v>1</v>
      </c>
      <c r="M2251" s="63"/>
      <c r="N2251" s="63"/>
      <c r="O2251" s="63"/>
      <c r="P2251" s="63"/>
      <c r="Q2251" s="63"/>
      <c r="R2251" s="63"/>
      <c r="S2251" s="63"/>
      <c r="T2251" s="63"/>
      <c r="U2251" s="63"/>
      <c r="V2251" s="63"/>
      <c r="W2251" s="63"/>
      <c r="X2251" s="63"/>
      <c r="Y2251" s="63"/>
      <c r="Z2251" s="63"/>
      <c r="AA2251" s="63"/>
      <c r="AB2251" s="63"/>
      <c r="AC2251" s="63"/>
      <c r="AD2251" s="63"/>
    </row>
    <row r="2252" spans="2:30">
      <c r="B2252" s="66">
        <v>1</v>
      </c>
      <c r="C2252" s="63"/>
      <c r="D2252" s="695" t="s">
        <v>2065</v>
      </c>
      <c r="E2252" s="484"/>
      <c r="F2252" s="484"/>
      <c r="G2252" s="472"/>
      <c r="H2252" s="242"/>
      <c r="I2252" s="242"/>
      <c r="J2252" s="65"/>
      <c r="K2252" s="697">
        <v>3269693000</v>
      </c>
      <c r="L2252" s="66"/>
      <c r="M2252" s="63"/>
      <c r="N2252" s="63"/>
      <c r="O2252" s="63"/>
      <c r="P2252" s="63"/>
      <c r="Q2252" s="63"/>
      <c r="R2252" s="63"/>
      <c r="S2252" s="63"/>
      <c r="T2252" s="63"/>
      <c r="U2252" s="63"/>
      <c r="V2252" s="63"/>
      <c r="W2252" s="63"/>
      <c r="X2252" s="63"/>
      <c r="Y2252" s="66">
        <v>100</v>
      </c>
      <c r="Z2252" s="66">
        <v>30</v>
      </c>
      <c r="AA2252" s="135">
        <v>66972518</v>
      </c>
      <c r="AB2252" s="134">
        <f t="shared" ref="AB2252:AB2255" si="754">AA2252/K2252*100</f>
        <v>2.0482815359117814</v>
      </c>
      <c r="AC2252" s="159">
        <f>AA2252</f>
        <v>66972518</v>
      </c>
      <c r="AD2252" s="134">
        <f>AC2252/K2252*100</f>
        <v>2.0482815359117814</v>
      </c>
    </row>
    <row r="2253" spans="2:30">
      <c r="B2253" s="66">
        <v>2</v>
      </c>
      <c r="C2253" s="63"/>
      <c r="D2253" s="695" t="s">
        <v>2066</v>
      </c>
      <c r="E2253" s="484"/>
      <c r="F2253" s="484"/>
      <c r="G2253" s="472"/>
      <c r="H2253" s="242"/>
      <c r="I2253" s="242"/>
      <c r="J2253" s="65"/>
      <c r="K2253" s="697">
        <v>3703898000</v>
      </c>
      <c r="L2253" s="66"/>
      <c r="M2253" s="63"/>
      <c r="N2253" s="63"/>
      <c r="O2253" s="63"/>
      <c r="P2253" s="63"/>
      <c r="Q2253" s="63"/>
      <c r="R2253" s="63"/>
      <c r="S2253" s="63"/>
      <c r="T2253" s="63"/>
      <c r="U2253" s="63"/>
      <c r="V2253" s="63"/>
      <c r="W2253" s="63"/>
      <c r="X2253" s="63"/>
      <c r="Y2253" s="66">
        <v>100</v>
      </c>
      <c r="Z2253" s="66">
        <v>30</v>
      </c>
      <c r="AA2253" s="135">
        <v>72808500</v>
      </c>
      <c r="AB2253" s="134">
        <f t="shared" si="754"/>
        <v>1.9657263779942105</v>
      </c>
      <c r="AC2253" s="159">
        <f t="shared" ref="AC2253:AC2255" si="755">AA2253</f>
        <v>72808500</v>
      </c>
      <c r="AD2253" s="134">
        <f t="shared" ref="AD2253:AD2255" si="756">AC2253/K2253*100</f>
        <v>1.9657263779942105</v>
      </c>
    </row>
    <row r="2254" spans="2:30" ht="27">
      <c r="B2254" s="66">
        <v>3</v>
      </c>
      <c r="C2254" s="63"/>
      <c r="D2254" s="695" t="s">
        <v>2068</v>
      </c>
      <c r="E2254" s="484"/>
      <c r="F2254" s="484"/>
      <c r="G2254" s="472"/>
      <c r="H2254" s="242"/>
      <c r="I2254" s="242"/>
      <c r="J2254" s="65"/>
      <c r="K2254" s="697">
        <v>5473611000</v>
      </c>
      <c r="L2254" s="66"/>
      <c r="M2254" s="63"/>
      <c r="N2254" s="63"/>
      <c r="O2254" s="63"/>
      <c r="P2254" s="63"/>
      <c r="Q2254" s="63"/>
      <c r="R2254" s="63"/>
      <c r="S2254" s="63"/>
      <c r="T2254" s="63"/>
      <c r="U2254" s="63"/>
      <c r="V2254" s="63"/>
      <c r="W2254" s="63"/>
      <c r="X2254" s="63"/>
      <c r="Y2254" s="66">
        <v>100</v>
      </c>
      <c r="Z2254" s="66">
        <v>30</v>
      </c>
      <c r="AA2254" s="135">
        <v>81107000</v>
      </c>
      <c r="AB2254" s="134">
        <f t="shared" si="754"/>
        <v>1.4817823188385144</v>
      </c>
      <c r="AC2254" s="159">
        <f t="shared" si="755"/>
        <v>81107000</v>
      </c>
      <c r="AD2254" s="134">
        <f t="shared" si="756"/>
        <v>1.4817823188385144</v>
      </c>
    </row>
    <row r="2255" spans="2:30" ht="27">
      <c r="B2255" s="47">
        <v>4</v>
      </c>
      <c r="C2255" s="51"/>
      <c r="D2255" s="790" t="s">
        <v>2067</v>
      </c>
      <c r="E2255" s="347"/>
      <c r="F2255" s="347"/>
      <c r="G2255" s="498"/>
      <c r="H2255" s="105"/>
      <c r="I2255" s="105"/>
      <c r="J2255" s="85"/>
      <c r="K2255" s="791">
        <v>2210498000</v>
      </c>
      <c r="L2255" s="47"/>
      <c r="M2255" s="51"/>
      <c r="N2255" s="51"/>
      <c r="O2255" s="51"/>
      <c r="P2255" s="51"/>
      <c r="Q2255" s="51"/>
      <c r="R2255" s="51"/>
      <c r="S2255" s="51"/>
      <c r="T2255" s="51"/>
      <c r="U2255" s="51"/>
      <c r="V2255" s="51"/>
      <c r="W2255" s="51"/>
      <c r="X2255" s="51"/>
      <c r="Y2255" s="47">
        <v>100</v>
      </c>
      <c r="Z2255" s="47">
        <v>30</v>
      </c>
      <c r="AA2255" s="112">
        <v>35615000</v>
      </c>
      <c r="AB2255" s="211">
        <f t="shared" si="754"/>
        <v>1.6111754002944134</v>
      </c>
      <c r="AC2255" s="792">
        <f t="shared" si="755"/>
        <v>35615000</v>
      </c>
      <c r="AD2255" s="211">
        <f t="shared" si="756"/>
        <v>1.6111754002944134</v>
      </c>
    </row>
    <row r="2256" spans="2:30">
      <c r="B2256" s="788"/>
      <c r="C2256" s="793" t="s">
        <v>562</v>
      </c>
      <c r="D2256" s="793" t="s">
        <v>563</v>
      </c>
      <c r="E2256" s="484"/>
      <c r="F2256" s="484"/>
      <c r="G2256" s="472"/>
      <c r="H2256" s="242"/>
      <c r="I2256" s="242"/>
      <c r="J2256" s="65"/>
      <c r="K2256" s="698"/>
      <c r="L2256" s="66"/>
      <c r="M2256" s="63"/>
      <c r="N2256" s="63"/>
      <c r="O2256" s="63"/>
      <c r="P2256" s="63"/>
      <c r="Q2256" s="63"/>
      <c r="R2256" s="63"/>
      <c r="S2256" s="63"/>
      <c r="T2256" s="63"/>
      <c r="U2256" s="63"/>
      <c r="V2256" s="63"/>
      <c r="W2256" s="63"/>
      <c r="X2256" s="63"/>
      <c r="Y2256" s="63"/>
      <c r="Z2256" s="63"/>
      <c r="AA2256" s="63" t="s">
        <v>1</v>
      </c>
      <c r="AB2256" s="63"/>
      <c r="AC2256" s="63"/>
      <c r="AD2256" s="63"/>
    </row>
    <row r="2257" spans="2:30" ht="38.25">
      <c r="B2257" s="66">
        <f>B2255+1</f>
        <v>5</v>
      </c>
      <c r="C2257" s="177" t="s">
        <v>578</v>
      </c>
      <c r="D2257" s="49" t="s">
        <v>1291</v>
      </c>
      <c r="E2257" s="484"/>
      <c r="F2257" s="484"/>
      <c r="G2257" s="472"/>
      <c r="H2257" s="242"/>
      <c r="I2257" s="242"/>
      <c r="J2257" s="15">
        <v>13000000</v>
      </c>
      <c r="K2257" s="699">
        <v>13000000</v>
      </c>
      <c r="L2257" s="66"/>
      <c r="M2257" s="63"/>
      <c r="N2257" s="63"/>
      <c r="O2257" s="63"/>
      <c r="P2257" s="63"/>
      <c r="Q2257" s="63"/>
      <c r="R2257" s="63"/>
      <c r="S2257" s="63"/>
      <c r="T2257" s="63"/>
      <c r="U2257" s="63"/>
      <c r="V2257" s="63"/>
      <c r="W2257" s="63"/>
      <c r="X2257" s="63"/>
      <c r="Y2257" s="63">
        <v>100</v>
      </c>
      <c r="Z2257" s="63">
        <v>100</v>
      </c>
      <c r="AA2257" s="135">
        <v>1140000</v>
      </c>
      <c r="AB2257" s="63">
        <f>AA2257/J2257*100</f>
        <v>8.7692307692307701</v>
      </c>
      <c r="AC2257" s="63"/>
      <c r="AD2257" s="98">
        <f>AC2257/K2257*100</f>
        <v>0</v>
      </c>
    </row>
    <row r="2258" spans="2:30" ht="27">
      <c r="B2258" s="13"/>
      <c r="C2258" s="86" t="s">
        <v>1289</v>
      </c>
      <c r="D2258" s="86" t="s">
        <v>26</v>
      </c>
      <c r="E2258" s="485"/>
      <c r="F2258" s="485"/>
      <c r="G2258" s="441"/>
      <c r="H2258" s="87"/>
      <c r="I2258" s="87"/>
      <c r="J2258" s="88"/>
      <c r="K2258" s="700"/>
      <c r="L2258" s="13"/>
      <c r="M2258" s="17"/>
      <c r="N2258" s="17"/>
      <c r="O2258" s="17"/>
      <c r="P2258" s="17"/>
      <c r="Q2258" s="17"/>
      <c r="R2258" s="17"/>
      <c r="S2258" s="17"/>
      <c r="T2258" s="17"/>
      <c r="U2258" s="17"/>
      <c r="V2258" s="17"/>
      <c r="W2258" s="17"/>
      <c r="X2258" s="17"/>
      <c r="Y2258" s="17"/>
      <c r="Z2258" s="17"/>
      <c r="AA2258" s="17"/>
      <c r="AB2258" s="63"/>
      <c r="AC2258" s="17"/>
      <c r="AD2258" s="98"/>
    </row>
    <row r="2259" spans="2:30">
      <c r="B2259" s="13">
        <f>B2257+1</f>
        <v>6</v>
      </c>
      <c r="C2259" s="74" t="s">
        <v>203</v>
      </c>
      <c r="D2259" s="74" t="s">
        <v>28</v>
      </c>
      <c r="E2259" s="204"/>
      <c r="F2259" s="204"/>
      <c r="G2259" s="193"/>
      <c r="H2259" s="89"/>
      <c r="I2259" s="89"/>
      <c r="J2259" s="15">
        <v>321253000</v>
      </c>
      <c r="K2259" s="99">
        <v>659823000</v>
      </c>
      <c r="L2259" s="13"/>
      <c r="M2259" s="17"/>
      <c r="N2259" s="17"/>
      <c r="O2259" s="17"/>
      <c r="P2259" s="17"/>
      <c r="Q2259" s="17"/>
      <c r="R2259" s="63"/>
      <c r="S2259" s="63"/>
      <c r="T2259" s="63"/>
      <c r="U2259" s="63"/>
      <c r="V2259" s="63"/>
      <c r="W2259" s="63"/>
      <c r="X2259" s="63"/>
      <c r="Y2259" s="63">
        <v>100</v>
      </c>
      <c r="Z2259" s="63">
        <v>100</v>
      </c>
      <c r="AA2259" s="22">
        <v>545463241</v>
      </c>
      <c r="AB2259" s="134">
        <f>AA2259/K2259*100</f>
        <v>82.668115691632451</v>
      </c>
      <c r="AC2259" s="20">
        <f t="shared" ref="AC2259:AC2264" si="757">AA2259</f>
        <v>545463241</v>
      </c>
      <c r="AD2259" s="98">
        <f>AC2259/K2259*100</f>
        <v>82.668115691632451</v>
      </c>
    </row>
    <row r="2260" spans="2:30">
      <c r="B2260" s="13">
        <f>B2259+1</f>
        <v>7</v>
      </c>
      <c r="C2260" s="74" t="s">
        <v>210</v>
      </c>
      <c r="D2260" s="74" t="s">
        <v>30</v>
      </c>
      <c r="E2260" s="204"/>
      <c r="F2260" s="204"/>
      <c r="G2260" s="193"/>
      <c r="H2260" s="89"/>
      <c r="I2260" s="89"/>
      <c r="J2260" s="15">
        <v>85000000</v>
      </c>
      <c r="K2260" s="99">
        <v>135000000</v>
      </c>
      <c r="L2260" s="13"/>
      <c r="M2260" s="17"/>
      <c r="N2260" s="17"/>
      <c r="O2260" s="17"/>
      <c r="P2260" s="17"/>
      <c r="Q2260" s="17"/>
      <c r="R2260" s="63"/>
      <c r="S2260" s="63"/>
      <c r="T2260" s="63"/>
      <c r="U2260" s="63"/>
      <c r="V2260" s="63"/>
      <c r="W2260" s="63"/>
      <c r="X2260" s="63"/>
      <c r="Y2260" s="63">
        <v>100</v>
      </c>
      <c r="Z2260" s="63">
        <v>100</v>
      </c>
      <c r="AA2260" s="22">
        <v>133059986</v>
      </c>
      <c r="AB2260" s="134">
        <f t="shared" ref="AB2260:AB2264" si="758">AA2260/K2260*100</f>
        <v>98.562952592592595</v>
      </c>
      <c r="AC2260" s="20">
        <f t="shared" si="757"/>
        <v>133059986</v>
      </c>
      <c r="AD2260" s="98">
        <f t="shared" ref="AD2260:AD2264" si="759">AC2260/K2260*100</f>
        <v>98.562952592592595</v>
      </c>
    </row>
    <row r="2261" spans="2:30">
      <c r="B2261" s="13">
        <f>B2260+1</f>
        <v>8</v>
      </c>
      <c r="C2261" s="74" t="s">
        <v>204</v>
      </c>
      <c r="D2261" s="74" t="s">
        <v>32</v>
      </c>
      <c r="E2261" s="204"/>
      <c r="F2261" s="204"/>
      <c r="G2261" s="193"/>
      <c r="H2261" s="89"/>
      <c r="I2261" s="89"/>
      <c r="J2261" s="15">
        <v>234821000</v>
      </c>
      <c r="K2261" s="99">
        <v>234821000</v>
      </c>
      <c r="L2261" s="13"/>
      <c r="M2261" s="17"/>
      <c r="N2261" s="17"/>
      <c r="O2261" s="17"/>
      <c r="P2261" s="17"/>
      <c r="Q2261" s="17"/>
      <c r="R2261" s="63"/>
      <c r="S2261" s="63"/>
      <c r="T2261" s="63"/>
      <c r="U2261" s="63"/>
      <c r="V2261" s="63"/>
      <c r="W2261" s="63"/>
      <c r="X2261" s="63"/>
      <c r="Y2261" s="63">
        <v>100</v>
      </c>
      <c r="Z2261" s="63">
        <v>100</v>
      </c>
      <c r="AA2261" s="22">
        <v>233676225</v>
      </c>
      <c r="AB2261" s="134">
        <f t="shared" si="758"/>
        <v>99.512490365001426</v>
      </c>
      <c r="AC2261" s="20">
        <f t="shared" si="757"/>
        <v>233676225</v>
      </c>
      <c r="AD2261" s="98">
        <f t="shared" si="759"/>
        <v>99.512490365001426</v>
      </c>
    </row>
    <row r="2262" spans="2:30">
      <c r="B2262" s="13">
        <f>B2261+1</f>
        <v>9</v>
      </c>
      <c r="C2262" s="74" t="s">
        <v>205</v>
      </c>
      <c r="D2262" s="74" t="s">
        <v>34</v>
      </c>
      <c r="E2262" s="204"/>
      <c r="F2262" s="204"/>
      <c r="G2262" s="193"/>
      <c r="H2262" s="89"/>
      <c r="I2262" s="89"/>
      <c r="J2262" s="15">
        <v>41600000</v>
      </c>
      <c r="K2262" s="99">
        <v>80925000</v>
      </c>
      <c r="L2262" s="13"/>
      <c r="M2262" s="22"/>
      <c r="N2262" s="161"/>
      <c r="O2262" s="17"/>
      <c r="P2262" s="17"/>
      <c r="Q2262" s="17"/>
      <c r="R2262" s="63"/>
      <c r="S2262" s="63"/>
      <c r="T2262" s="63"/>
      <c r="U2262" s="63"/>
      <c r="V2262" s="63"/>
      <c r="W2262" s="63"/>
      <c r="X2262" s="63"/>
      <c r="Y2262" s="63">
        <v>100</v>
      </c>
      <c r="Z2262" s="63">
        <v>100</v>
      </c>
      <c r="AA2262" s="22">
        <v>80925000</v>
      </c>
      <c r="AB2262" s="134">
        <f t="shared" si="758"/>
        <v>100</v>
      </c>
      <c r="AC2262" s="20">
        <f t="shared" si="757"/>
        <v>80925000</v>
      </c>
      <c r="AD2262" s="20">
        <f t="shared" si="759"/>
        <v>100</v>
      </c>
    </row>
    <row r="2263" spans="2:30" ht="25.5">
      <c r="B2263" s="13">
        <f>B2262+1</f>
        <v>10</v>
      </c>
      <c r="C2263" s="123" t="s">
        <v>216</v>
      </c>
      <c r="D2263" s="21" t="s">
        <v>38</v>
      </c>
      <c r="E2263" s="204"/>
      <c r="F2263" s="204"/>
      <c r="G2263" s="193"/>
      <c r="H2263" s="89"/>
      <c r="I2263" s="89"/>
      <c r="J2263" s="15">
        <v>8000000</v>
      </c>
      <c r="K2263" s="99">
        <v>8000000</v>
      </c>
      <c r="L2263" s="13"/>
      <c r="M2263" s="22"/>
      <c r="N2263" s="161"/>
      <c r="O2263" s="17"/>
      <c r="P2263" s="17"/>
      <c r="Q2263" s="17"/>
      <c r="R2263" s="63"/>
      <c r="S2263" s="63"/>
      <c r="T2263" s="63"/>
      <c r="U2263" s="63"/>
      <c r="V2263" s="63"/>
      <c r="W2263" s="63"/>
      <c r="X2263" s="63"/>
      <c r="Y2263" s="63">
        <v>100</v>
      </c>
      <c r="Z2263" s="63">
        <v>100</v>
      </c>
      <c r="AA2263" s="22">
        <v>5590000</v>
      </c>
      <c r="AB2263" s="134">
        <f t="shared" si="758"/>
        <v>69.875</v>
      </c>
      <c r="AC2263" s="20">
        <f t="shared" si="757"/>
        <v>5590000</v>
      </c>
      <c r="AD2263" s="98">
        <f t="shared" si="759"/>
        <v>69.875</v>
      </c>
    </row>
    <row r="2264" spans="2:30">
      <c r="B2264" s="13">
        <f>B2263+1</f>
        <v>11</v>
      </c>
      <c r="C2264" s="123" t="s">
        <v>361</v>
      </c>
      <c r="D2264" s="21" t="s">
        <v>362</v>
      </c>
      <c r="E2264" s="204"/>
      <c r="F2264" s="204"/>
      <c r="G2264" s="193"/>
      <c r="H2264" s="89"/>
      <c r="I2264" s="89"/>
      <c r="J2264" s="15">
        <v>40000000</v>
      </c>
      <c r="K2264" s="99">
        <v>40000000</v>
      </c>
      <c r="L2264" s="13"/>
      <c r="M2264" s="17"/>
      <c r="N2264" s="17"/>
      <c r="O2264" s="17"/>
      <c r="P2264" s="17"/>
      <c r="Q2264" s="17"/>
      <c r="R2264" s="63"/>
      <c r="S2264" s="63"/>
      <c r="T2264" s="63"/>
      <c r="U2264" s="63"/>
      <c r="V2264" s="63"/>
      <c r="W2264" s="63"/>
      <c r="X2264" s="63"/>
      <c r="Y2264" s="63">
        <v>100</v>
      </c>
      <c r="Z2264" s="63">
        <v>100</v>
      </c>
      <c r="AA2264" s="22">
        <v>39697000</v>
      </c>
      <c r="AB2264" s="134">
        <f t="shared" si="758"/>
        <v>99.242500000000007</v>
      </c>
      <c r="AC2264" s="20">
        <f t="shared" si="757"/>
        <v>39697000</v>
      </c>
      <c r="AD2264" s="98">
        <f t="shared" si="759"/>
        <v>99.242500000000007</v>
      </c>
    </row>
    <row r="2265" spans="2:30" ht="40.5">
      <c r="B2265" s="13"/>
      <c r="C2265" s="86" t="s">
        <v>1292</v>
      </c>
      <c r="D2265" s="86" t="s">
        <v>1293</v>
      </c>
      <c r="E2265" s="485"/>
      <c r="F2265" s="485"/>
      <c r="G2265" s="441"/>
      <c r="H2265" s="87"/>
      <c r="I2265" s="87"/>
      <c r="J2265" s="88"/>
      <c r="K2265" s="700"/>
      <c r="L2265" s="13"/>
      <c r="M2265" s="17"/>
      <c r="N2265" s="17"/>
      <c r="O2265" s="17"/>
      <c r="P2265" s="17"/>
      <c r="Q2265" s="17"/>
      <c r="R2265" s="17"/>
      <c r="S2265" s="17"/>
      <c r="T2265" s="17"/>
      <c r="U2265" s="17"/>
      <c r="V2265" s="17"/>
      <c r="W2265" s="17"/>
      <c r="X2265" s="17"/>
      <c r="Y2265" s="20"/>
      <c r="Z2265" s="20"/>
      <c r="AA2265" s="22"/>
      <c r="AB2265" s="63"/>
      <c r="AC2265" s="20"/>
      <c r="AD2265" s="98"/>
    </row>
    <row r="2266" spans="2:30">
      <c r="B2266" s="13">
        <f>B2264+1</f>
        <v>12</v>
      </c>
      <c r="C2266" s="74" t="s">
        <v>219</v>
      </c>
      <c r="D2266" s="74" t="s">
        <v>1294</v>
      </c>
      <c r="E2266" s="204"/>
      <c r="F2266" s="204"/>
      <c r="G2266" s="193"/>
      <c r="H2266" s="89"/>
      <c r="I2266" s="89"/>
      <c r="J2266" s="15">
        <v>301467000</v>
      </c>
      <c r="K2266" s="99">
        <v>301467000</v>
      </c>
      <c r="L2266" s="13"/>
      <c r="M2266" s="17"/>
      <c r="N2266" s="17"/>
      <c r="O2266" s="17"/>
      <c r="P2266" s="17"/>
      <c r="Q2266" s="17"/>
      <c r="R2266" s="63"/>
      <c r="S2266" s="63"/>
      <c r="T2266" s="63"/>
      <c r="U2266" s="63"/>
      <c r="V2266" s="63"/>
      <c r="W2266" s="63"/>
      <c r="X2266" s="63"/>
      <c r="Y2266" s="63">
        <v>95</v>
      </c>
      <c r="Z2266" s="63">
        <v>95</v>
      </c>
      <c r="AA2266" s="22">
        <v>281202068</v>
      </c>
      <c r="AB2266" s="134">
        <f>AA2266/K2266*100</f>
        <v>93.277893766150186</v>
      </c>
      <c r="AC2266" s="20">
        <f t="shared" ref="AC2266:AC2279" si="760">AA2266</f>
        <v>281202068</v>
      </c>
      <c r="AD2266" s="98">
        <f>AC2266/K2266*100</f>
        <v>93.277893766150186</v>
      </c>
    </row>
    <row r="2267" spans="2:30">
      <c r="B2267" s="13">
        <f>B2266+1</f>
        <v>13</v>
      </c>
      <c r="C2267" s="74" t="s">
        <v>221</v>
      </c>
      <c r="D2267" s="74" t="s">
        <v>1295</v>
      </c>
      <c r="E2267" s="204"/>
      <c r="F2267" s="204"/>
      <c r="G2267" s="193"/>
      <c r="H2267" s="89"/>
      <c r="I2267" s="89"/>
      <c r="J2267" s="15">
        <v>50000000</v>
      </c>
      <c r="K2267" s="99">
        <v>50000000</v>
      </c>
      <c r="L2267" s="13"/>
      <c r="M2267" s="17"/>
      <c r="N2267" s="17"/>
      <c r="O2267" s="17"/>
      <c r="P2267" s="17"/>
      <c r="Q2267" s="17"/>
      <c r="R2267" s="63"/>
      <c r="S2267" s="63"/>
      <c r="T2267" s="63"/>
      <c r="U2267" s="63"/>
      <c r="V2267" s="63"/>
      <c r="W2267" s="63"/>
      <c r="X2267" s="63"/>
      <c r="Y2267" s="63">
        <v>100</v>
      </c>
      <c r="Z2267" s="63">
        <v>100</v>
      </c>
      <c r="AA2267" s="22">
        <v>38714918</v>
      </c>
      <c r="AB2267" s="134">
        <f t="shared" ref="AB2267:AB2281" si="761">AA2267/K2267*100</f>
        <v>77.429835999999995</v>
      </c>
      <c r="AC2267" s="20">
        <f>AA2267</f>
        <v>38714918</v>
      </c>
      <c r="AD2267" s="98">
        <f t="shared" ref="AD2267:AD2274" si="762">AC2267/K2267*100</f>
        <v>77.429835999999995</v>
      </c>
    </row>
    <row r="2268" spans="2:30">
      <c r="B2268" s="13">
        <f>B2267+1</f>
        <v>14</v>
      </c>
      <c r="C2268" s="74" t="s">
        <v>600</v>
      </c>
      <c r="D2268" s="74" t="s">
        <v>1296</v>
      </c>
      <c r="E2268" s="204"/>
      <c r="F2268" s="204"/>
      <c r="G2268" s="193"/>
      <c r="H2268" s="89"/>
      <c r="I2268" s="89"/>
      <c r="J2268" s="15">
        <v>103720000</v>
      </c>
      <c r="K2268" s="99">
        <v>128720000</v>
      </c>
      <c r="L2268" s="13"/>
      <c r="M2268" s="17"/>
      <c r="N2268" s="17"/>
      <c r="O2268" s="17"/>
      <c r="P2268" s="17"/>
      <c r="Q2268" s="17"/>
      <c r="R2268" s="63"/>
      <c r="S2268" s="63"/>
      <c r="T2268" s="63"/>
      <c r="U2268" s="63"/>
      <c r="V2268" s="63"/>
      <c r="W2268" s="63"/>
      <c r="X2268" s="63"/>
      <c r="Y2268" s="63">
        <v>100</v>
      </c>
      <c r="Z2268" s="63">
        <v>100</v>
      </c>
      <c r="AA2268" s="22">
        <v>127665000</v>
      </c>
      <c r="AB2268" s="134">
        <f t="shared" si="761"/>
        <v>99.180391547545057</v>
      </c>
      <c r="AC2268" s="20">
        <f t="shared" si="760"/>
        <v>127665000</v>
      </c>
      <c r="AD2268" s="98">
        <f t="shared" si="762"/>
        <v>99.180391547545057</v>
      </c>
    </row>
    <row r="2269" spans="2:30" ht="27">
      <c r="B2269" s="13">
        <f t="shared" ref="B2269:B2281" si="763">B2268+1</f>
        <v>15</v>
      </c>
      <c r="C2269" s="74" t="s">
        <v>564</v>
      </c>
      <c r="D2269" s="74" t="s">
        <v>1297</v>
      </c>
      <c r="E2269" s="204"/>
      <c r="F2269" s="204"/>
      <c r="G2269" s="193"/>
      <c r="H2269" s="89"/>
      <c r="I2269" s="89"/>
      <c r="J2269" s="15">
        <v>100000000</v>
      </c>
      <c r="K2269" s="99">
        <v>130000000</v>
      </c>
      <c r="L2269" s="13"/>
      <c r="M2269" s="17"/>
      <c r="N2269" s="17"/>
      <c r="O2269" s="17"/>
      <c r="P2269" s="17"/>
      <c r="Q2269" s="17"/>
      <c r="R2269" s="63"/>
      <c r="S2269" s="63"/>
      <c r="T2269" s="63"/>
      <c r="U2269" s="63"/>
      <c r="V2269" s="63"/>
      <c r="W2269" s="63"/>
      <c r="X2269" s="63"/>
      <c r="Y2269" s="63">
        <v>100</v>
      </c>
      <c r="Z2269" s="63">
        <v>100</v>
      </c>
      <c r="AA2269" s="22">
        <v>128711000</v>
      </c>
      <c r="AB2269" s="134">
        <f t="shared" si="761"/>
        <v>99.008461538461532</v>
      </c>
      <c r="AC2269" s="20">
        <f t="shared" si="760"/>
        <v>128711000</v>
      </c>
      <c r="AD2269" s="98">
        <f t="shared" si="762"/>
        <v>99.008461538461532</v>
      </c>
    </row>
    <row r="2270" spans="2:30">
      <c r="B2270" s="13">
        <f t="shared" si="763"/>
        <v>16</v>
      </c>
      <c r="C2270" s="74" t="s">
        <v>644</v>
      </c>
      <c r="D2270" s="74" t="s">
        <v>1298</v>
      </c>
      <c r="E2270" s="204"/>
      <c r="F2270" s="204"/>
      <c r="G2270" s="193"/>
      <c r="H2270" s="89"/>
      <c r="I2270" s="89"/>
      <c r="J2270" s="15">
        <v>40000000</v>
      </c>
      <c r="K2270" s="99">
        <v>40000000</v>
      </c>
      <c r="L2270" s="13"/>
      <c r="M2270" s="17"/>
      <c r="N2270" s="17"/>
      <c r="O2270" s="17"/>
      <c r="P2270" s="17"/>
      <c r="Q2270" s="17"/>
      <c r="R2270" s="63"/>
      <c r="S2270" s="63"/>
      <c r="T2270" s="63"/>
      <c r="U2270" s="63"/>
      <c r="V2270" s="63"/>
      <c r="W2270" s="63"/>
      <c r="X2270" s="63"/>
      <c r="Y2270" s="63">
        <v>100</v>
      </c>
      <c r="Z2270" s="63">
        <v>100</v>
      </c>
      <c r="AA2270" s="22">
        <v>39985000</v>
      </c>
      <c r="AB2270" s="134">
        <f t="shared" si="761"/>
        <v>99.962500000000006</v>
      </c>
      <c r="AC2270" s="20">
        <f>AA2270</f>
        <v>39985000</v>
      </c>
      <c r="AD2270" s="98">
        <f t="shared" si="762"/>
        <v>99.962500000000006</v>
      </c>
    </row>
    <row r="2271" spans="2:30">
      <c r="B2271" s="13">
        <f t="shared" si="763"/>
        <v>17</v>
      </c>
      <c r="C2271" s="74" t="s">
        <v>664</v>
      </c>
      <c r="D2271" s="74" t="s">
        <v>1299</v>
      </c>
      <c r="E2271" s="204"/>
      <c r="F2271" s="204"/>
      <c r="G2271" s="193"/>
      <c r="H2271" s="89"/>
      <c r="I2271" s="89"/>
      <c r="J2271" s="15">
        <v>51000000</v>
      </c>
      <c r="K2271" s="99">
        <v>51000000</v>
      </c>
      <c r="L2271" s="13"/>
      <c r="M2271" s="17"/>
      <c r="N2271" s="17"/>
      <c r="O2271" s="17"/>
      <c r="P2271" s="17"/>
      <c r="Q2271" s="17"/>
      <c r="R2271" s="63"/>
      <c r="S2271" s="63"/>
      <c r="T2271" s="63"/>
      <c r="U2271" s="63"/>
      <c r="V2271" s="63"/>
      <c r="W2271" s="63"/>
      <c r="X2271" s="63"/>
      <c r="Y2271" s="63">
        <v>100</v>
      </c>
      <c r="Z2271" s="63">
        <v>100</v>
      </c>
      <c r="AA2271" s="22">
        <v>50493000</v>
      </c>
      <c r="AB2271" s="134">
        <f t="shared" si="761"/>
        <v>99.005882352941171</v>
      </c>
      <c r="AC2271" s="20">
        <f t="shared" si="760"/>
        <v>50493000</v>
      </c>
      <c r="AD2271" s="98">
        <f t="shared" si="762"/>
        <v>99.005882352941171</v>
      </c>
    </row>
    <row r="2272" spans="2:30">
      <c r="B2272" s="13">
        <f t="shared" si="763"/>
        <v>18</v>
      </c>
      <c r="C2272" s="74" t="s">
        <v>666</v>
      </c>
      <c r="D2272" s="74" t="s">
        <v>501</v>
      </c>
      <c r="E2272" s="204"/>
      <c r="F2272" s="204"/>
      <c r="G2272" s="193"/>
      <c r="H2272" s="89"/>
      <c r="I2272" s="89"/>
      <c r="J2272" s="15">
        <v>75000000</v>
      </c>
      <c r="K2272" s="99">
        <v>75000000</v>
      </c>
      <c r="L2272" s="13"/>
      <c r="M2272" s="17"/>
      <c r="N2272" s="17"/>
      <c r="O2272" s="17"/>
      <c r="P2272" s="17"/>
      <c r="Q2272" s="17"/>
      <c r="R2272" s="63"/>
      <c r="S2272" s="63"/>
      <c r="T2272" s="63"/>
      <c r="U2272" s="63"/>
      <c r="V2272" s="63"/>
      <c r="W2272" s="63"/>
      <c r="X2272" s="63"/>
      <c r="Y2272" s="63">
        <v>100</v>
      </c>
      <c r="Z2272" s="63">
        <v>100</v>
      </c>
      <c r="AA2272" s="22">
        <v>62570000</v>
      </c>
      <c r="AB2272" s="134">
        <f t="shared" si="761"/>
        <v>83.426666666666677</v>
      </c>
      <c r="AC2272" s="20">
        <f t="shared" si="760"/>
        <v>62570000</v>
      </c>
      <c r="AD2272" s="98">
        <f t="shared" si="762"/>
        <v>83.426666666666677</v>
      </c>
    </row>
    <row r="2273" spans="1:30" ht="27">
      <c r="A2273" s="72"/>
      <c r="B2273" s="13">
        <f t="shared" si="763"/>
        <v>19</v>
      </c>
      <c r="C2273" s="74" t="s">
        <v>602</v>
      </c>
      <c r="D2273" s="74" t="s">
        <v>2063</v>
      </c>
      <c r="E2273" s="204"/>
      <c r="F2273" s="204"/>
      <c r="G2273" s="193"/>
      <c r="H2273" s="89"/>
      <c r="I2273" s="89"/>
      <c r="J2273" s="15">
        <v>50000000</v>
      </c>
      <c r="K2273" s="99">
        <v>50000000</v>
      </c>
      <c r="L2273" s="13"/>
      <c r="M2273" s="17"/>
      <c r="N2273" s="17"/>
      <c r="O2273" s="17"/>
      <c r="P2273" s="17"/>
      <c r="Q2273" s="17"/>
      <c r="R2273" s="63"/>
      <c r="S2273" s="63"/>
      <c r="T2273" s="63"/>
      <c r="U2273" s="63"/>
      <c r="V2273" s="63"/>
      <c r="W2273" s="63"/>
      <c r="X2273" s="63"/>
      <c r="Y2273" s="63">
        <v>100</v>
      </c>
      <c r="Z2273" s="63">
        <v>100</v>
      </c>
      <c r="AA2273" s="22">
        <v>49980000</v>
      </c>
      <c r="AB2273" s="134">
        <f t="shared" si="761"/>
        <v>99.960000000000008</v>
      </c>
      <c r="AC2273" s="20">
        <f t="shared" si="760"/>
        <v>49980000</v>
      </c>
      <c r="AD2273" s="98">
        <f t="shared" si="762"/>
        <v>99.960000000000008</v>
      </c>
    </row>
    <row r="2274" spans="1:30">
      <c r="A2274" s="72"/>
      <c r="B2274" s="13">
        <f t="shared" si="763"/>
        <v>20</v>
      </c>
      <c r="C2274" s="74"/>
      <c r="D2274" s="750" t="s">
        <v>2064</v>
      </c>
      <c r="E2274" s="484"/>
      <c r="F2274" s="484"/>
      <c r="G2274" s="472"/>
      <c r="H2274" s="242"/>
      <c r="I2274" s="242"/>
      <c r="J2274" s="65">
        <v>75000000</v>
      </c>
      <c r="K2274" s="697">
        <v>36875000</v>
      </c>
      <c r="L2274" s="13"/>
      <c r="M2274" s="17"/>
      <c r="N2274" s="17"/>
      <c r="O2274" s="17"/>
      <c r="P2274" s="17"/>
      <c r="Q2274" s="17"/>
      <c r="R2274" s="63"/>
      <c r="S2274" s="63"/>
      <c r="T2274" s="63"/>
      <c r="U2274" s="63"/>
      <c r="V2274" s="63"/>
      <c r="W2274" s="63"/>
      <c r="X2274" s="63"/>
      <c r="Y2274" s="63">
        <v>100</v>
      </c>
      <c r="Z2274" s="63">
        <v>100</v>
      </c>
      <c r="AA2274" s="22">
        <v>35364975</v>
      </c>
      <c r="AB2274" s="134">
        <f t="shared" si="761"/>
        <v>95.905016949152539</v>
      </c>
      <c r="AC2274" s="20">
        <f t="shared" si="760"/>
        <v>35364975</v>
      </c>
      <c r="AD2274" s="98">
        <f t="shared" si="762"/>
        <v>95.905016949152539</v>
      </c>
    </row>
    <row r="2275" spans="1:30" ht="25.5">
      <c r="B2275" s="13">
        <f t="shared" si="763"/>
        <v>21</v>
      </c>
      <c r="C2275" s="58" t="s">
        <v>568</v>
      </c>
      <c r="D2275" s="21" t="s">
        <v>1300</v>
      </c>
      <c r="E2275" s="204"/>
      <c r="F2275" s="204"/>
      <c r="G2275" s="193"/>
      <c r="H2275" s="89"/>
      <c r="I2275" s="89"/>
      <c r="J2275" s="15">
        <v>16815000</v>
      </c>
      <c r="K2275" s="99">
        <v>16815000</v>
      </c>
      <c r="L2275" s="13"/>
      <c r="M2275" s="17"/>
      <c r="N2275" s="17"/>
      <c r="O2275" s="17"/>
      <c r="P2275" s="17"/>
      <c r="Q2275" s="17"/>
      <c r="R2275" s="63"/>
      <c r="S2275" s="63"/>
      <c r="T2275" s="63"/>
      <c r="U2275" s="63"/>
      <c r="V2275" s="63"/>
      <c r="W2275" s="63"/>
      <c r="X2275" s="63"/>
      <c r="Y2275" s="63">
        <v>100</v>
      </c>
      <c r="Z2275" s="63">
        <v>100</v>
      </c>
      <c r="AA2275" s="22">
        <v>14515000</v>
      </c>
      <c r="AB2275" s="134">
        <f t="shared" si="761"/>
        <v>86.321736544751715</v>
      </c>
      <c r="AC2275" s="20">
        <f t="shared" si="760"/>
        <v>14515000</v>
      </c>
      <c r="AD2275" s="98">
        <f>AC2275/K2275*100</f>
        <v>86.321736544751715</v>
      </c>
    </row>
    <row r="2276" spans="1:30">
      <c r="B2276" s="13">
        <f t="shared" si="763"/>
        <v>22</v>
      </c>
      <c r="C2276" s="174">
        <v>15.013</v>
      </c>
      <c r="D2276" s="21" t="s">
        <v>1301</v>
      </c>
      <c r="E2276" s="204"/>
      <c r="F2276" s="204"/>
      <c r="G2276" s="193"/>
      <c r="H2276" s="89"/>
      <c r="I2276" s="89"/>
      <c r="J2276" s="15">
        <v>252300000</v>
      </c>
      <c r="K2276" s="99">
        <v>252300000</v>
      </c>
      <c r="L2276" s="13"/>
      <c r="M2276" s="17"/>
      <c r="N2276" s="17"/>
      <c r="O2276" s="17"/>
      <c r="P2276" s="17"/>
      <c r="Q2276" s="17"/>
      <c r="R2276" s="63"/>
      <c r="S2276" s="63"/>
      <c r="T2276" s="63"/>
      <c r="U2276" s="63"/>
      <c r="V2276" s="63"/>
      <c r="W2276" s="63"/>
      <c r="X2276" s="63"/>
      <c r="Y2276" s="63">
        <v>100</v>
      </c>
      <c r="Z2276" s="63">
        <v>100</v>
      </c>
      <c r="AA2276" s="22">
        <v>168460000</v>
      </c>
      <c r="AB2276" s="134">
        <f t="shared" si="761"/>
        <v>66.769718588981377</v>
      </c>
      <c r="AC2276" s="20">
        <f>AA2276</f>
        <v>168460000</v>
      </c>
      <c r="AD2276" s="98">
        <f t="shared" ref="AD2276:AD2281" si="764">AC2276/K2276*100</f>
        <v>66.769718588981377</v>
      </c>
    </row>
    <row r="2277" spans="1:30">
      <c r="B2277" s="13">
        <f t="shared" si="763"/>
        <v>23</v>
      </c>
      <c r="C2277" s="174">
        <v>15.013999999999999</v>
      </c>
      <c r="D2277" s="21" t="s">
        <v>1302</v>
      </c>
      <c r="E2277" s="204"/>
      <c r="F2277" s="204"/>
      <c r="G2277" s="193"/>
      <c r="H2277" s="89"/>
      <c r="I2277" s="89"/>
      <c r="J2277" s="15">
        <v>123360000</v>
      </c>
      <c r="K2277" s="99">
        <v>123360000</v>
      </c>
      <c r="L2277" s="13"/>
      <c r="M2277" s="17"/>
      <c r="N2277" s="17"/>
      <c r="O2277" s="17"/>
      <c r="P2277" s="17"/>
      <c r="Q2277" s="17"/>
      <c r="R2277" s="63"/>
      <c r="S2277" s="63"/>
      <c r="T2277" s="63"/>
      <c r="U2277" s="63"/>
      <c r="V2277" s="63"/>
      <c r="W2277" s="63"/>
      <c r="X2277" s="63"/>
      <c r="Y2277" s="63">
        <v>100</v>
      </c>
      <c r="Z2277" s="63">
        <v>100</v>
      </c>
      <c r="AA2277" s="22">
        <v>123189950</v>
      </c>
      <c r="AB2277" s="134">
        <f t="shared" si="761"/>
        <v>99.862151426718555</v>
      </c>
      <c r="AC2277" s="20">
        <f t="shared" si="760"/>
        <v>123189950</v>
      </c>
      <c r="AD2277" s="98">
        <f t="shared" si="764"/>
        <v>99.862151426718555</v>
      </c>
    </row>
    <row r="2278" spans="1:30">
      <c r="B2278" s="13">
        <f t="shared" si="763"/>
        <v>24</v>
      </c>
      <c r="C2278" s="174">
        <v>15.015000000000001</v>
      </c>
      <c r="D2278" s="21" t="s">
        <v>1303</v>
      </c>
      <c r="E2278" s="204"/>
      <c r="F2278" s="204"/>
      <c r="G2278" s="193"/>
      <c r="H2278" s="89"/>
      <c r="I2278" s="89"/>
      <c r="J2278" s="15">
        <v>24000000</v>
      </c>
      <c r="K2278" s="99">
        <v>24000000</v>
      </c>
      <c r="L2278" s="13"/>
      <c r="M2278" s="17"/>
      <c r="N2278" s="17"/>
      <c r="O2278" s="17"/>
      <c r="P2278" s="17"/>
      <c r="Q2278" s="17"/>
      <c r="R2278" s="63"/>
      <c r="S2278" s="63"/>
      <c r="T2278" s="63"/>
      <c r="U2278" s="63"/>
      <c r="V2278" s="63"/>
      <c r="W2278" s="63"/>
      <c r="X2278" s="63"/>
      <c r="Y2278" s="63">
        <v>0</v>
      </c>
      <c r="Z2278" s="63">
        <v>0</v>
      </c>
      <c r="AA2278" s="22">
        <v>0</v>
      </c>
      <c r="AB2278" s="134">
        <f t="shared" si="761"/>
        <v>0</v>
      </c>
      <c r="AC2278" s="20">
        <f t="shared" si="760"/>
        <v>0</v>
      </c>
      <c r="AD2278" s="98">
        <f t="shared" si="764"/>
        <v>0</v>
      </c>
    </row>
    <row r="2279" spans="1:30">
      <c r="B2279" s="13">
        <f t="shared" si="763"/>
        <v>25</v>
      </c>
      <c r="C2279" s="174">
        <v>15.016</v>
      </c>
      <c r="D2279" s="21" t="s">
        <v>1304</v>
      </c>
      <c r="E2279" s="204"/>
      <c r="F2279" s="204"/>
      <c r="G2279" s="193"/>
      <c r="H2279" s="89"/>
      <c r="I2279" s="89"/>
      <c r="J2279" s="15">
        <v>32695000</v>
      </c>
      <c r="K2279" s="99">
        <v>32695000</v>
      </c>
      <c r="L2279" s="13"/>
      <c r="M2279" s="17"/>
      <c r="N2279" s="17"/>
      <c r="O2279" s="17"/>
      <c r="P2279" s="17"/>
      <c r="Q2279" s="17"/>
      <c r="R2279" s="63"/>
      <c r="S2279" s="63"/>
      <c r="T2279" s="63"/>
      <c r="U2279" s="63"/>
      <c r="V2279" s="63"/>
      <c r="W2279" s="63"/>
      <c r="X2279" s="63"/>
      <c r="Y2279" s="63">
        <v>100</v>
      </c>
      <c r="Z2279" s="63">
        <v>100</v>
      </c>
      <c r="AA2279" s="22">
        <v>32640000</v>
      </c>
      <c r="AB2279" s="134">
        <f t="shared" si="761"/>
        <v>99.831778559412754</v>
      </c>
      <c r="AC2279" s="20">
        <f t="shared" si="760"/>
        <v>32640000</v>
      </c>
      <c r="AD2279" s="98">
        <f t="shared" si="764"/>
        <v>99.831778559412754</v>
      </c>
    </row>
    <row r="2280" spans="1:30" ht="25.5">
      <c r="B2280" s="13">
        <f t="shared" si="763"/>
        <v>26</v>
      </c>
      <c r="C2280" s="174">
        <v>15.016999999999999</v>
      </c>
      <c r="D2280" s="21" t="s">
        <v>1305</v>
      </c>
      <c r="E2280" s="204"/>
      <c r="F2280" s="204"/>
      <c r="G2280" s="193"/>
      <c r="H2280" s="89"/>
      <c r="I2280" s="89"/>
      <c r="J2280" s="15">
        <v>135400000</v>
      </c>
      <c r="K2280" s="99">
        <v>164600000</v>
      </c>
      <c r="L2280" s="13"/>
      <c r="M2280" s="17"/>
      <c r="N2280" s="17"/>
      <c r="O2280" s="17"/>
      <c r="P2280" s="17"/>
      <c r="Q2280" s="17"/>
      <c r="R2280" s="63"/>
      <c r="S2280" s="63"/>
      <c r="T2280" s="63"/>
      <c r="U2280" s="63"/>
      <c r="V2280" s="63"/>
      <c r="W2280" s="63"/>
      <c r="X2280" s="63"/>
      <c r="Y2280" s="63">
        <v>100</v>
      </c>
      <c r="Z2280" s="63">
        <v>100</v>
      </c>
      <c r="AA2280" s="22">
        <v>53763999</v>
      </c>
      <c r="AB2280" s="134">
        <f t="shared" si="761"/>
        <v>32.663425880923455</v>
      </c>
      <c r="AC2280" s="20">
        <f>AA2280</f>
        <v>53763999</v>
      </c>
      <c r="AD2280" s="98">
        <f t="shared" si="764"/>
        <v>32.663425880923455</v>
      </c>
    </row>
    <row r="2281" spans="1:30" ht="25.5">
      <c r="B2281" s="13">
        <f t="shared" si="763"/>
        <v>27</v>
      </c>
      <c r="C2281" s="174"/>
      <c r="D2281" s="21" t="s">
        <v>2127</v>
      </c>
      <c r="E2281" s="204"/>
      <c r="F2281" s="204"/>
      <c r="G2281" s="193"/>
      <c r="H2281" s="89"/>
      <c r="I2281" s="89"/>
      <c r="J2281" s="15">
        <v>0</v>
      </c>
      <c r="K2281" s="701">
        <v>95400000</v>
      </c>
      <c r="L2281" s="13"/>
      <c r="M2281" s="17"/>
      <c r="N2281" s="17"/>
      <c r="O2281" s="17"/>
      <c r="P2281" s="17"/>
      <c r="Q2281" s="17"/>
      <c r="R2281" s="63"/>
      <c r="S2281" s="63"/>
      <c r="T2281" s="63"/>
      <c r="U2281" s="63"/>
      <c r="V2281" s="63"/>
      <c r="W2281" s="63"/>
      <c r="X2281" s="63"/>
      <c r="Y2281" s="63">
        <v>100</v>
      </c>
      <c r="Z2281" s="63">
        <v>100</v>
      </c>
      <c r="AA2281" s="22">
        <v>49620000</v>
      </c>
      <c r="AB2281" s="134">
        <f t="shared" si="761"/>
        <v>52.012578616352201</v>
      </c>
      <c r="AC2281" s="20">
        <f>AA2281</f>
        <v>49620000</v>
      </c>
      <c r="AD2281" s="98">
        <f t="shared" si="764"/>
        <v>52.012578616352201</v>
      </c>
    </row>
    <row r="2282" spans="1:30" ht="42" customHeight="1">
      <c r="B2282" s="13"/>
      <c r="C2282" s="86" t="s">
        <v>1306</v>
      </c>
      <c r="D2282" s="86" t="s">
        <v>1307</v>
      </c>
      <c r="E2282" s="485"/>
      <c r="F2282" s="485"/>
      <c r="G2282" s="441"/>
      <c r="H2282" s="87"/>
      <c r="I2282" s="87"/>
      <c r="J2282" s="88"/>
      <c r="K2282" s="700"/>
      <c r="L2282" s="13"/>
      <c r="M2282" s="17"/>
      <c r="N2282" s="17"/>
      <c r="O2282" s="17"/>
      <c r="P2282" s="17"/>
      <c r="Q2282" s="17"/>
      <c r="R2282" s="17"/>
      <c r="S2282" s="17"/>
      <c r="T2282" s="17"/>
      <c r="U2282" s="17"/>
      <c r="V2282" s="17"/>
      <c r="W2282" s="17"/>
      <c r="X2282" s="17"/>
      <c r="Y2282" s="20"/>
      <c r="Z2282" s="20"/>
      <c r="AA2282" s="22"/>
      <c r="AB2282" s="63"/>
      <c r="AC2282" s="20"/>
      <c r="AD2282" s="98"/>
    </row>
    <row r="2283" spans="1:30">
      <c r="B2283" s="13">
        <f>B2281+1</f>
        <v>28</v>
      </c>
      <c r="C2283" s="74" t="s">
        <v>238</v>
      </c>
      <c r="D2283" s="74" t="s">
        <v>1308</v>
      </c>
      <c r="E2283" s="204"/>
      <c r="F2283" s="204"/>
      <c r="G2283" s="193"/>
      <c r="H2283" s="89"/>
      <c r="I2283" s="89"/>
      <c r="J2283" s="15">
        <v>4012254000</v>
      </c>
      <c r="K2283" s="99">
        <v>4012254000</v>
      </c>
      <c r="L2283" s="13"/>
      <c r="M2283" s="22"/>
      <c r="N2283" s="161"/>
      <c r="O2283" s="17"/>
      <c r="P2283" s="17"/>
      <c r="Q2283" s="17"/>
      <c r="R2283" s="63"/>
      <c r="S2283" s="63"/>
      <c r="T2283" s="63"/>
      <c r="U2283" s="63"/>
      <c r="V2283" s="63"/>
      <c r="W2283" s="63"/>
      <c r="X2283" s="63"/>
      <c r="Y2283" s="63">
        <v>100</v>
      </c>
      <c r="Z2283" s="63">
        <v>70</v>
      </c>
      <c r="AA2283" s="22">
        <v>646270000</v>
      </c>
      <c r="AB2283" s="134">
        <f>AA2283/K2283*100</f>
        <v>16.107404964890058</v>
      </c>
      <c r="AC2283" s="20">
        <f>AA2283</f>
        <v>646270000</v>
      </c>
      <c r="AD2283" s="98">
        <f>AC2283/K2283*100</f>
        <v>16.107404964890058</v>
      </c>
    </row>
    <row r="2284" spans="1:30" ht="27">
      <c r="B2284" s="13">
        <f t="shared" ref="B2284" si="765">B2283+1</f>
        <v>29</v>
      </c>
      <c r="C2284" s="74" t="s">
        <v>240</v>
      </c>
      <c r="D2284" s="74" t="s">
        <v>1309</v>
      </c>
      <c r="E2284" s="204"/>
      <c r="F2284" s="204"/>
      <c r="G2284" s="193"/>
      <c r="H2284" s="89"/>
      <c r="I2284" s="89"/>
      <c r="J2284" s="15">
        <v>40000000</v>
      </c>
      <c r="K2284" s="702">
        <v>75000000</v>
      </c>
      <c r="L2284" s="13"/>
      <c r="M2284" s="17"/>
      <c r="N2284" s="17"/>
      <c r="O2284" s="17"/>
      <c r="P2284" s="17"/>
      <c r="Q2284" s="17"/>
      <c r="R2284" s="63"/>
      <c r="S2284" s="63"/>
      <c r="T2284" s="63"/>
      <c r="U2284" s="63"/>
      <c r="V2284" s="63"/>
      <c r="W2284" s="63"/>
      <c r="X2284" s="63"/>
      <c r="Y2284" s="63">
        <v>100</v>
      </c>
      <c r="Z2284" s="63">
        <v>100</v>
      </c>
      <c r="AA2284" s="22">
        <v>43740600</v>
      </c>
      <c r="AB2284" s="134">
        <f t="shared" ref="AB2284:AB2286" si="766">AA2284/K2284*100</f>
        <v>58.320799999999991</v>
      </c>
      <c r="AC2284" s="20">
        <f>AA2284</f>
        <v>43740600</v>
      </c>
      <c r="AD2284" s="98">
        <f>AC2284/K2284*100</f>
        <v>58.320799999999991</v>
      </c>
    </row>
    <row r="2285" spans="1:30" ht="27">
      <c r="B2285" s="13"/>
      <c r="C2285" s="86" t="s">
        <v>1310</v>
      </c>
      <c r="D2285" s="86" t="s">
        <v>1311</v>
      </c>
      <c r="E2285" s="485"/>
      <c r="F2285" s="485"/>
      <c r="G2285" s="441"/>
      <c r="H2285" s="87"/>
      <c r="I2285" s="87"/>
      <c r="J2285" s="88"/>
      <c r="K2285" s="700"/>
      <c r="L2285" s="13"/>
      <c r="M2285" s="17" t="s">
        <v>1</v>
      </c>
      <c r="N2285" s="17"/>
      <c r="O2285" s="17"/>
      <c r="P2285" s="17"/>
      <c r="Q2285" s="17"/>
      <c r="R2285" s="17"/>
      <c r="S2285" s="17"/>
      <c r="T2285" s="17"/>
      <c r="U2285" s="17"/>
      <c r="V2285" s="17"/>
      <c r="W2285" s="17"/>
      <c r="X2285" s="17"/>
      <c r="Y2285" s="20"/>
      <c r="Z2285" s="20"/>
      <c r="AA2285" s="22"/>
      <c r="AB2285" s="134"/>
      <c r="AC2285" s="20"/>
      <c r="AD2285" s="98"/>
    </row>
    <row r="2286" spans="1:30" ht="30.75" customHeight="1">
      <c r="B2286" s="13">
        <f>B2284+1</f>
        <v>30</v>
      </c>
      <c r="C2286" s="74" t="s">
        <v>299</v>
      </c>
      <c r="D2286" s="21" t="s">
        <v>1312</v>
      </c>
      <c r="E2286" s="204"/>
      <c r="F2286" s="204"/>
      <c r="G2286" s="193"/>
      <c r="H2286" s="89"/>
      <c r="I2286" s="89"/>
      <c r="J2286" s="15">
        <v>60000000</v>
      </c>
      <c r="K2286" s="702">
        <v>60000000</v>
      </c>
      <c r="L2286" s="13"/>
      <c r="M2286" s="18"/>
      <c r="N2286" s="17"/>
      <c r="O2286" s="17"/>
      <c r="P2286" s="17"/>
      <c r="Q2286" s="17"/>
      <c r="R2286" s="63"/>
      <c r="S2286" s="63"/>
      <c r="T2286" s="63"/>
      <c r="U2286" s="63"/>
      <c r="V2286" s="63"/>
      <c r="W2286" s="63"/>
      <c r="X2286" s="63"/>
      <c r="Y2286" s="63">
        <v>100</v>
      </c>
      <c r="Z2286" s="63">
        <v>100</v>
      </c>
      <c r="AA2286" s="22">
        <v>59967000</v>
      </c>
      <c r="AB2286" s="134">
        <f t="shared" si="766"/>
        <v>99.944999999999993</v>
      </c>
      <c r="AC2286" s="20">
        <f>AA2286</f>
        <v>59967000</v>
      </c>
      <c r="AD2286" s="98">
        <f>AC2286/K2286*100</f>
        <v>99.944999999999993</v>
      </c>
    </row>
    <row r="2287" spans="1:30" ht="30.75" customHeight="1">
      <c r="B2287" s="66"/>
      <c r="C2287" s="120" t="s">
        <v>1313</v>
      </c>
      <c r="D2287" s="120" t="s">
        <v>1314</v>
      </c>
      <c r="E2287" s="487"/>
      <c r="F2287" s="487"/>
      <c r="G2287" s="474"/>
      <c r="H2287" s="255"/>
      <c r="I2287" s="255"/>
      <c r="J2287" s="256"/>
      <c r="K2287" s="703"/>
      <c r="L2287" s="66"/>
      <c r="M2287" s="450"/>
      <c r="N2287" s="63"/>
      <c r="O2287" s="63"/>
      <c r="P2287" s="63"/>
      <c r="Q2287" s="63"/>
      <c r="R2287" s="63"/>
      <c r="S2287" s="63"/>
      <c r="T2287" s="63"/>
      <c r="U2287" s="63"/>
      <c r="V2287" s="63"/>
      <c r="W2287" s="63"/>
      <c r="X2287" s="63"/>
      <c r="Y2287" s="137"/>
      <c r="Z2287" s="137"/>
      <c r="AA2287" s="22"/>
      <c r="AB2287" s="63"/>
      <c r="AC2287" s="137"/>
      <c r="AD2287" s="98"/>
    </row>
    <row r="2288" spans="1:30">
      <c r="B2288" s="13">
        <f>B2286+1</f>
        <v>31</v>
      </c>
      <c r="C2288" s="74" t="s">
        <v>219</v>
      </c>
      <c r="D2288" s="21" t="s">
        <v>1315</v>
      </c>
      <c r="E2288" s="204"/>
      <c r="F2288" s="204"/>
      <c r="G2288" s="193"/>
      <c r="H2288" s="89"/>
      <c r="I2288" s="89"/>
      <c r="J2288" s="15">
        <v>1352135000</v>
      </c>
      <c r="K2288" s="702">
        <v>1352135000</v>
      </c>
      <c r="L2288" s="13"/>
      <c r="M2288" s="451"/>
      <c r="N2288" s="161"/>
      <c r="O2288" s="407"/>
      <c r="P2288" s="407"/>
      <c r="Q2288" s="17"/>
      <c r="R2288" s="63"/>
      <c r="S2288" s="63"/>
      <c r="T2288" s="63"/>
      <c r="U2288" s="63"/>
      <c r="V2288" s="63"/>
      <c r="W2288" s="63"/>
      <c r="X2288" s="63"/>
      <c r="Y2288" s="63">
        <v>100</v>
      </c>
      <c r="Z2288" s="63">
        <v>33.33</v>
      </c>
      <c r="AA2288" s="22">
        <v>128673974</v>
      </c>
      <c r="AB2288" s="134">
        <f>AA2288/K2288*100</f>
        <v>9.5163555414215306</v>
      </c>
      <c r="AC2288" s="20">
        <f>AA2288</f>
        <v>128673974</v>
      </c>
      <c r="AD2288" s="98">
        <f>AC2288/K2288*100</f>
        <v>9.5163555414215306</v>
      </c>
    </row>
    <row r="2289" spans="2:30">
      <c r="B2289" s="13">
        <f>B2288+1</f>
        <v>32</v>
      </c>
      <c r="C2289" s="257" t="s">
        <v>644</v>
      </c>
      <c r="D2289" s="21" t="s">
        <v>1316</v>
      </c>
      <c r="E2289" s="512"/>
      <c r="F2289" s="512"/>
      <c r="G2289" s="501"/>
      <c r="H2289" s="254"/>
      <c r="I2289" s="254"/>
      <c r="J2289" s="15">
        <v>80000000</v>
      </c>
      <c r="K2289" s="702">
        <v>80000000</v>
      </c>
      <c r="L2289" s="13"/>
      <c r="M2289" s="452"/>
      <c r="N2289" s="18"/>
      <c r="O2289" s="407"/>
      <c r="P2289" s="407"/>
      <c r="Q2289" s="17"/>
      <c r="R2289" s="63"/>
      <c r="S2289" s="63"/>
      <c r="T2289" s="63"/>
      <c r="U2289" s="63"/>
      <c r="V2289" s="63"/>
      <c r="W2289" s="63"/>
      <c r="X2289" s="63"/>
      <c r="Y2289" s="63">
        <v>100</v>
      </c>
      <c r="Z2289" s="63">
        <v>100</v>
      </c>
      <c r="AA2289" s="22">
        <v>79945000</v>
      </c>
      <c r="AB2289" s="134">
        <f t="shared" ref="AB2289:AB2290" si="767">AA2289/K2289*100</f>
        <v>99.931250000000006</v>
      </c>
      <c r="AC2289" s="20">
        <f>AA2289</f>
        <v>79945000</v>
      </c>
      <c r="AD2289" s="98">
        <f t="shared" ref="AD2289:AD2290" si="768">AC2289/K2289*100</f>
        <v>99.931250000000006</v>
      </c>
    </row>
    <row r="2290" spans="2:30" ht="53.25" customHeight="1">
      <c r="B2290" s="13">
        <f>B2289+1</f>
        <v>33</v>
      </c>
      <c r="C2290" s="257" t="s">
        <v>664</v>
      </c>
      <c r="D2290" s="21" t="s">
        <v>1317</v>
      </c>
      <c r="E2290" s="512"/>
      <c r="F2290" s="512"/>
      <c r="G2290" s="501"/>
      <c r="H2290" s="254"/>
      <c r="I2290" s="254"/>
      <c r="J2290" s="15">
        <v>50000000</v>
      </c>
      <c r="K2290" s="702">
        <v>50000000</v>
      </c>
      <c r="L2290" s="13"/>
      <c r="M2290" s="452"/>
      <c r="N2290" s="18"/>
      <c r="O2290" s="407"/>
      <c r="P2290" s="407"/>
      <c r="Q2290" s="17"/>
      <c r="R2290" s="63"/>
      <c r="S2290" s="63"/>
      <c r="T2290" s="63"/>
      <c r="U2290" s="63"/>
      <c r="V2290" s="63"/>
      <c r="W2290" s="63"/>
      <c r="X2290" s="63"/>
      <c r="Y2290" s="63">
        <v>100</v>
      </c>
      <c r="Z2290" s="63">
        <v>100</v>
      </c>
      <c r="AA2290" s="22">
        <v>50000000</v>
      </c>
      <c r="AB2290" s="134">
        <f t="shared" si="767"/>
        <v>100</v>
      </c>
      <c r="AC2290" s="20">
        <f>AA2290</f>
        <v>50000000</v>
      </c>
      <c r="AD2290" s="98">
        <f t="shared" si="768"/>
        <v>100</v>
      </c>
    </row>
    <row r="2291" spans="2:30" ht="28.5" customHeight="1">
      <c r="B2291" s="13">
        <f>B2290+1</f>
        <v>34</v>
      </c>
      <c r="C2291" s="257" t="s">
        <v>666</v>
      </c>
      <c r="D2291" s="21" t="s">
        <v>2370</v>
      </c>
      <c r="E2291" s="512"/>
      <c r="F2291" s="512"/>
      <c r="G2291" s="501"/>
      <c r="H2291" s="254"/>
      <c r="I2291" s="254"/>
      <c r="J2291" s="15"/>
      <c r="K2291" s="702">
        <v>180000000</v>
      </c>
      <c r="L2291" s="13"/>
      <c r="M2291" s="452"/>
      <c r="N2291" s="18"/>
      <c r="O2291" s="407"/>
      <c r="P2291" s="407"/>
      <c r="Q2291" s="17"/>
      <c r="R2291" s="63"/>
      <c r="S2291" s="63"/>
      <c r="T2291" s="63"/>
      <c r="U2291" s="63"/>
      <c r="V2291" s="63"/>
      <c r="W2291" s="63"/>
      <c r="X2291" s="63"/>
      <c r="Y2291" s="63">
        <v>0</v>
      </c>
      <c r="Z2291" s="63">
        <v>0</v>
      </c>
      <c r="AA2291" s="22"/>
      <c r="AB2291" s="134"/>
      <c r="AC2291" s="20"/>
      <c r="AD2291" s="98"/>
    </row>
    <row r="2292" spans="2:30" ht="30.75" customHeight="1">
      <c r="B2292" s="13"/>
      <c r="C2292" s="86" t="s">
        <v>1318</v>
      </c>
      <c r="D2292" s="86" t="s">
        <v>1319</v>
      </c>
      <c r="E2292" s="485"/>
      <c r="F2292" s="485"/>
      <c r="G2292" s="441"/>
      <c r="H2292" s="87"/>
      <c r="I2292" s="87"/>
      <c r="J2292" s="88"/>
      <c r="K2292" s="700"/>
      <c r="L2292" s="13"/>
      <c r="M2292" s="452"/>
      <c r="N2292" s="18"/>
      <c r="O2292" s="407"/>
      <c r="P2292" s="407"/>
      <c r="Q2292" s="17"/>
      <c r="R2292" s="17"/>
      <c r="S2292" s="17"/>
      <c r="T2292" s="17"/>
      <c r="U2292" s="17"/>
      <c r="V2292" s="17"/>
      <c r="W2292" s="17"/>
      <c r="X2292" s="17"/>
      <c r="Y2292" s="20"/>
      <c r="Z2292" s="20"/>
      <c r="AA2292" s="22"/>
      <c r="AB2292" s="63"/>
      <c r="AC2292" s="20">
        <f>AA2292</f>
        <v>0</v>
      </c>
      <c r="AD2292" s="98"/>
    </row>
    <row r="2293" spans="2:30">
      <c r="B2293" s="45">
        <f>B2291+1</f>
        <v>35</v>
      </c>
      <c r="C2293" s="93" t="s">
        <v>375</v>
      </c>
      <c r="D2293" s="93" t="s">
        <v>1320</v>
      </c>
      <c r="E2293" s="489"/>
      <c r="F2293" s="489"/>
      <c r="G2293" s="240"/>
      <c r="H2293" s="186"/>
      <c r="I2293" s="186"/>
      <c r="J2293" s="15">
        <v>20000000</v>
      </c>
      <c r="K2293" s="702">
        <v>20000000</v>
      </c>
      <c r="L2293" s="45"/>
      <c r="M2293" s="453"/>
      <c r="N2293" s="108"/>
      <c r="O2293" s="454"/>
      <c r="P2293" s="454"/>
      <c r="Q2293" s="44"/>
      <c r="R2293" s="51"/>
      <c r="S2293" s="51"/>
      <c r="T2293" s="51"/>
      <c r="U2293" s="51"/>
      <c r="V2293" s="51"/>
      <c r="W2293" s="51"/>
      <c r="X2293" s="51"/>
      <c r="Y2293" s="63">
        <v>100</v>
      </c>
      <c r="Z2293" s="63">
        <v>100</v>
      </c>
      <c r="AA2293" s="22">
        <v>15064500</v>
      </c>
      <c r="AB2293" s="134">
        <f>AA2293/K2293*100</f>
        <v>75.322500000000005</v>
      </c>
      <c r="AC2293" s="100">
        <f>AA2293</f>
        <v>15064500</v>
      </c>
      <c r="AD2293" s="98">
        <f>AC2293/K2293*100</f>
        <v>75.322500000000005</v>
      </c>
    </row>
    <row r="2294" spans="2:30" ht="20.25" customHeight="1">
      <c r="B2294" s="45">
        <f>B2293+1</f>
        <v>36</v>
      </c>
      <c r="C2294" s="376"/>
      <c r="D2294" s="376" t="s">
        <v>2391</v>
      </c>
      <c r="E2294" s="347"/>
      <c r="F2294" s="347"/>
      <c r="G2294" s="498"/>
      <c r="H2294" s="105"/>
      <c r="I2294" s="105"/>
      <c r="J2294" s="598"/>
      <c r="K2294" s="704">
        <v>20000000</v>
      </c>
      <c r="L2294" s="47"/>
      <c r="M2294" s="696"/>
      <c r="N2294" s="676"/>
      <c r="O2294" s="688"/>
      <c r="P2294" s="688"/>
      <c r="Q2294" s="51"/>
      <c r="R2294" s="51"/>
      <c r="S2294" s="51"/>
      <c r="T2294" s="51"/>
      <c r="U2294" s="51"/>
      <c r="V2294" s="51"/>
      <c r="W2294" s="51"/>
      <c r="X2294" s="51"/>
      <c r="Y2294" s="51">
        <v>0</v>
      </c>
      <c r="Z2294" s="51">
        <v>0</v>
      </c>
      <c r="AA2294" s="112"/>
      <c r="AB2294" s="211"/>
      <c r="AC2294" s="239"/>
      <c r="AD2294" s="207"/>
    </row>
    <row r="2295" spans="2:30" ht="18" customHeight="1">
      <c r="B2295" s="37">
        <v>171</v>
      </c>
      <c r="C2295" s="855" t="s">
        <v>1321</v>
      </c>
      <c r="D2295" s="855"/>
      <c r="E2295" s="483"/>
      <c r="F2295" s="483">
        <v>36</v>
      </c>
      <c r="G2295" s="468"/>
      <c r="H2295" s="483"/>
      <c r="I2295" s="468"/>
      <c r="J2295" s="35">
        <f>SUM(J2257:J2294)</f>
        <v>7788820000</v>
      </c>
      <c r="K2295" s="35">
        <f>SUM(K2252:K2294)</f>
        <v>23250890000</v>
      </c>
      <c r="L2295" s="295"/>
      <c r="M2295" s="28"/>
      <c r="N2295" s="28"/>
      <c r="O2295" s="28"/>
      <c r="P2295" s="28"/>
      <c r="Q2295" s="28"/>
      <c r="R2295" s="28"/>
      <c r="S2295" s="28"/>
      <c r="T2295" s="28">
        <v>1</v>
      </c>
      <c r="U2295" s="28"/>
      <c r="V2295" s="28">
        <v>1</v>
      </c>
      <c r="W2295" s="28"/>
      <c r="X2295" s="28">
        <v>0</v>
      </c>
      <c r="Y2295" s="82">
        <f>SUM(Y2252:Y2294)/35</f>
        <v>94.142857142857139</v>
      </c>
      <c r="Z2295" s="82">
        <f>SUM(Z2252:Z2294)/35</f>
        <v>83.380857142857138</v>
      </c>
      <c r="AA2295" s="68">
        <f>SUM(AA2252:AA2294)</f>
        <v>3576590454</v>
      </c>
      <c r="AB2295" s="82">
        <f>SUM(AB2252:AB2294)/35</f>
        <v>65.985674399881859</v>
      </c>
      <c r="AC2295" s="68">
        <f>SUM(AC2252:AC2294)</f>
        <v>3575450454</v>
      </c>
      <c r="AD2295" s="84">
        <f>SUM(AD2252:AD2294)/35</f>
        <v>65.735124949332402</v>
      </c>
    </row>
    <row r="2296" spans="2:30">
      <c r="B2296" s="66"/>
      <c r="C2296" s="258" t="s">
        <v>1322</v>
      </c>
      <c r="D2296" s="64" t="s">
        <v>1323</v>
      </c>
      <c r="E2296" s="484"/>
      <c r="F2296" s="484"/>
      <c r="G2296" s="472"/>
      <c r="H2296" s="484"/>
      <c r="I2296" s="472"/>
      <c r="J2296" s="65"/>
      <c r="K2296" s="65"/>
      <c r="L2296" s="66"/>
      <c r="M2296" s="63"/>
      <c r="N2296" s="63"/>
      <c r="O2296" s="63"/>
      <c r="P2296" s="63"/>
      <c r="Q2296" s="63"/>
      <c r="R2296" s="63"/>
      <c r="S2296" s="63"/>
      <c r="T2296" s="63"/>
      <c r="U2296" s="63"/>
      <c r="V2296" s="63"/>
      <c r="W2296" s="63"/>
      <c r="X2296" s="63"/>
      <c r="Y2296" s="63"/>
      <c r="Z2296" s="63"/>
      <c r="AA2296" s="63"/>
      <c r="AB2296" s="63"/>
      <c r="AC2296" s="63"/>
      <c r="AD2296" s="63"/>
    </row>
    <row r="2297" spans="2:30" ht="27">
      <c r="B2297" s="13"/>
      <c r="C2297" s="86" t="s">
        <v>566</v>
      </c>
      <c r="D2297" s="86" t="s">
        <v>567</v>
      </c>
      <c r="E2297" s="485"/>
      <c r="F2297" s="485"/>
      <c r="G2297" s="441"/>
      <c r="H2297" s="87"/>
      <c r="I2297" s="87"/>
      <c r="J2297" s="88"/>
      <c r="K2297" s="88"/>
      <c r="L2297" s="13"/>
      <c r="M2297" s="385"/>
      <c r="N2297" s="17"/>
      <c r="O2297" s="17"/>
      <c r="P2297" s="17"/>
      <c r="Q2297" s="17"/>
      <c r="R2297" s="17"/>
      <c r="S2297" s="17"/>
      <c r="T2297" s="17"/>
      <c r="U2297" s="17"/>
      <c r="V2297" s="17"/>
      <c r="W2297" s="17"/>
      <c r="X2297" s="17"/>
      <c r="Y2297" s="17"/>
      <c r="Z2297" s="17"/>
      <c r="AA2297" s="17"/>
      <c r="AB2297" s="17"/>
      <c r="AC2297" s="17"/>
      <c r="AD2297" s="17"/>
    </row>
    <row r="2298" spans="2:30" ht="18" customHeight="1">
      <c r="B2298" s="13">
        <v>1</v>
      </c>
      <c r="C2298" s="74" t="s">
        <v>666</v>
      </c>
      <c r="D2298" s="74" t="s">
        <v>1324</v>
      </c>
      <c r="E2298" s="204"/>
      <c r="F2298" s="204"/>
      <c r="G2298" s="193"/>
      <c r="H2298" s="89"/>
      <c r="I2298" s="89"/>
      <c r="J2298" s="15">
        <v>19000000</v>
      </c>
      <c r="K2298" s="15">
        <v>19000000</v>
      </c>
      <c r="L2298" s="13"/>
      <c r="M2298" s="17"/>
      <c r="N2298" s="17"/>
      <c r="O2298" s="17"/>
      <c r="P2298" s="17"/>
      <c r="Q2298" s="17"/>
      <c r="R2298" s="17"/>
      <c r="S2298" s="17"/>
      <c r="T2298" s="17"/>
      <c r="U2298" s="17"/>
      <c r="V2298" s="17"/>
      <c r="W2298" s="17"/>
      <c r="X2298" s="17"/>
      <c r="Y2298" s="17">
        <v>100</v>
      </c>
      <c r="Z2298" s="17">
        <v>100</v>
      </c>
      <c r="AA2298" s="22">
        <v>12845000</v>
      </c>
      <c r="AB2298" s="98">
        <f>AA2298/K2298*100</f>
        <v>67.60526315789474</v>
      </c>
      <c r="AC2298" s="20">
        <f>AA2298</f>
        <v>12845000</v>
      </c>
      <c r="AD2298" s="98">
        <f>AC2298/K2298*100</f>
        <v>67.60526315789474</v>
      </c>
    </row>
    <row r="2299" spans="2:30" ht="20.25" customHeight="1">
      <c r="B2299" s="13">
        <f>B2298+1</f>
        <v>2</v>
      </c>
      <c r="C2299" s="74" t="s">
        <v>602</v>
      </c>
      <c r="D2299" s="74" t="s">
        <v>1325</v>
      </c>
      <c r="E2299" s="204"/>
      <c r="F2299" s="204"/>
      <c r="G2299" s="193"/>
      <c r="H2299" s="89"/>
      <c r="I2299" s="89"/>
      <c r="J2299" s="15">
        <v>15000000</v>
      </c>
      <c r="K2299" s="15">
        <v>15000000</v>
      </c>
      <c r="L2299" s="13"/>
      <c r="M2299" s="17"/>
      <c r="N2299" s="17"/>
      <c r="O2299" s="17"/>
      <c r="P2299" s="17"/>
      <c r="Q2299" s="17"/>
      <c r="R2299" s="17"/>
      <c r="S2299" s="17"/>
      <c r="T2299" s="17"/>
      <c r="U2299" s="17"/>
      <c r="V2299" s="17"/>
      <c r="W2299" s="17"/>
      <c r="X2299" s="17"/>
      <c r="Y2299" s="17">
        <v>100</v>
      </c>
      <c r="Z2299" s="17">
        <v>99</v>
      </c>
      <c r="AA2299" s="22">
        <v>14940000</v>
      </c>
      <c r="AB2299" s="98">
        <f t="shared" ref="AB2299:AB2359" si="769">AA2299/K2299*100</f>
        <v>99.6</v>
      </c>
      <c r="AC2299" s="20">
        <f>AA2299</f>
        <v>14940000</v>
      </c>
      <c r="AD2299" s="98">
        <f t="shared" ref="AD2299:AD2359" si="770">AC2299/K2299*100</f>
        <v>99.6</v>
      </c>
    </row>
    <row r="2300" spans="2:30" ht="32.25" customHeight="1">
      <c r="B2300" s="13"/>
      <c r="C2300" s="86" t="s">
        <v>1289</v>
      </c>
      <c r="D2300" s="86" t="s">
        <v>26</v>
      </c>
      <c r="E2300" s="204"/>
      <c r="F2300" s="204"/>
      <c r="G2300" s="193"/>
      <c r="H2300" s="89"/>
      <c r="I2300" s="89"/>
      <c r="J2300" s="88"/>
      <c r="K2300" s="88"/>
      <c r="L2300" s="13"/>
      <c r="M2300" s="17"/>
      <c r="N2300" s="17"/>
      <c r="O2300" s="17"/>
      <c r="P2300" s="17"/>
      <c r="Q2300" s="17"/>
      <c r="R2300" s="17"/>
      <c r="S2300" s="17"/>
      <c r="T2300" s="17"/>
      <c r="U2300" s="17"/>
      <c r="V2300" s="17"/>
      <c r="W2300" s="17"/>
      <c r="X2300" s="17"/>
      <c r="Y2300" s="17"/>
      <c r="Z2300" s="17"/>
      <c r="AA2300" s="17"/>
      <c r="AB2300" s="98"/>
      <c r="AC2300" s="17"/>
      <c r="AD2300" s="98"/>
    </row>
    <row r="2301" spans="2:30" ht="20.25" customHeight="1">
      <c r="B2301" s="13">
        <f>B2299+1</f>
        <v>3</v>
      </c>
      <c r="C2301" s="74" t="s">
        <v>203</v>
      </c>
      <c r="D2301" s="74" t="s">
        <v>28</v>
      </c>
      <c r="E2301" s="204"/>
      <c r="F2301" s="204"/>
      <c r="G2301" s="193"/>
      <c r="H2301" s="89"/>
      <c r="I2301" s="89"/>
      <c r="J2301" s="15">
        <v>359210000</v>
      </c>
      <c r="K2301" s="99">
        <v>617231000</v>
      </c>
      <c r="L2301" s="13"/>
      <c r="M2301" s="17"/>
      <c r="N2301" s="17"/>
      <c r="O2301" s="17"/>
      <c r="P2301" s="17"/>
      <c r="Q2301" s="17"/>
      <c r="R2301" s="17"/>
      <c r="S2301" s="17"/>
      <c r="T2301" s="17"/>
      <c r="U2301" s="17"/>
      <c r="V2301" s="17"/>
      <c r="W2301" s="17"/>
      <c r="X2301" s="17"/>
      <c r="Y2301" s="98">
        <v>100</v>
      </c>
      <c r="Z2301" s="98">
        <v>98</v>
      </c>
      <c r="AA2301" s="22">
        <v>602365806</v>
      </c>
      <c r="AB2301" s="98">
        <f t="shared" si="769"/>
        <v>97.59163198219143</v>
      </c>
      <c r="AC2301" s="20">
        <f t="shared" ref="AC2301:AC2307" si="771">AA2301</f>
        <v>602365806</v>
      </c>
      <c r="AD2301" s="98">
        <f t="shared" si="770"/>
        <v>97.59163198219143</v>
      </c>
    </row>
    <row r="2302" spans="2:30" ht="21" customHeight="1">
      <c r="B2302" s="13">
        <f t="shared" ref="B2302:B2307" si="772">B2301+1</f>
        <v>4</v>
      </c>
      <c r="C2302" s="74" t="s">
        <v>210</v>
      </c>
      <c r="D2302" s="74" t="s">
        <v>30</v>
      </c>
      <c r="E2302" s="204"/>
      <c r="F2302" s="204"/>
      <c r="G2302" s="193"/>
      <c r="H2302" s="89"/>
      <c r="I2302" s="89"/>
      <c r="J2302" s="15">
        <v>75550000</v>
      </c>
      <c r="K2302" s="99">
        <v>88800000</v>
      </c>
      <c r="L2302" s="13"/>
      <c r="M2302" s="17"/>
      <c r="N2302" s="17"/>
      <c r="O2302" s="17"/>
      <c r="P2302" s="17"/>
      <c r="Q2302" s="17"/>
      <c r="R2302" s="17"/>
      <c r="S2302" s="17"/>
      <c r="T2302" s="17"/>
      <c r="U2302" s="17"/>
      <c r="V2302" s="17"/>
      <c r="W2302" s="17"/>
      <c r="X2302" s="17"/>
      <c r="Y2302" s="98">
        <v>100</v>
      </c>
      <c r="Z2302" s="98">
        <v>99</v>
      </c>
      <c r="AA2302" s="22">
        <v>87730200</v>
      </c>
      <c r="AB2302" s="98">
        <f t="shared" si="769"/>
        <v>98.795270270270279</v>
      </c>
      <c r="AC2302" s="20">
        <f t="shared" si="771"/>
        <v>87730200</v>
      </c>
      <c r="AD2302" s="98">
        <f t="shared" si="770"/>
        <v>98.795270270270279</v>
      </c>
    </row>
    <row r="2303" spans="2:30">
      <c r="B2303" s="13">
        <f t="shared" si="772"/>
        <v>5</v>
      </c>
      <c r="C2303" s="74" t="s">
        <v>204</v>
      </c>
      <c r="D2303" s="74" t="s">
        <v>32</v>
      </c>
      <c r="E2303" s="204"/>
      <c r="F2303" s="204"/>
      <c r="G2303" s="193"/>
      <c r="H2303" s="89"/>
      <c r="I2303" s="89"/>
      <c r="J2303" s="15">
        <v>247121000</v>
      </c>
      <c r="K2303" s="99">
        <v>247721000</v>
      </c>
      <c r="L2303" s="13"/>
      <c r="M2303" s="17"/>
      <c r="N2303" s="17"/>
      <c r="O2303" s="17"/>
      <c r="P2303" s="17"/>
      <c r="Q2303" s="17"/>
      <c r="R2303" s="17"/>
      <c r="S2303" s="17"/>
      <c r="T2303" s="17"/>
      <c r="U2303" s="17"/>
      <c r="V2303" s="17"/>
      <c r="W2303" s="17"/>
      <c r="X2303" s="17"/>
      <c r="Y2303" s="98">
        <v>100</v>
      </c>
      <c r="Z2303" s="98">
        <v>92</v>
      </c>
      <c r="AA2303" s="22">
        <v>227991625</v>
      </c>
      <c r="AB2303" s="98">
        <f t="shared" si="769"/>
        <v>92.035646957666088</v>
      </c>
      <c r="AC2303" s="20">
        <f t="shared" si="771"/>
        <v>227991625</v>
      </c>
      <c r="AD2303" s="98">
        <f t="shared" si="770"/>
        <v>92.035646957666088</v>
      </c>
    </row>
    <row r="2304" spans="2:30">
      <c r="B2304" s="13">
        <f t="shared" si="772"/>
        <v>6</v>
      </c>
      <c r="C2304" s="74" t="s">
        <v>205</v>
      </c>
      <c r="D2304" s="74" t="s">
        <v>34</v>
      </c>
      <c r="E2304" s="204"/>
      <c r="F2304" s="204"/>
      <c r="G2304" s="193"/>
      <c r="H2304" s="89"/>
      <c r="I2304" s="89"/>
      <c r="J2304" s="15">
        <v>27750000</v>
      </c>
      <c r="K2304" s="99">
        <v>84529000</v>
      </c>
      <c r="L2304" s="13"/>
      <c r="M2304" s="17"/>
      <c r="N2304" s="17"/>
      <c r="O2304" s="17"/>
      <c r="P2304" s="17"/>
      <c r="Q2304" s="17"/>
      <c r="R2304" s="17"/>
      <c r="S2304" s="17"/>
      <c r="T2304" s="17"/>
      <c r="U2304" s="17"/>
      <c r="V2304" s="17"/>
      <c r="W2304" s="17"/>
      <c r="X2304" s="17"/>
      <c r="Y2304" s="98">
        <v>100</v>
      </c>
      <c r="Z2304" s="98">
        <v>100</v>
      </c>
      <c r="AA2304" s="22">
        <v>84528400</v>
      </c>
      <c r="AB2304" s="98">
        <f t="shared" si="769"/>
        <v>99.999290184433747</v>
      </c>
      <c r="AC2304" s="20">
        <f t="shared" si="771"/>
        <v>84528400</v>
      </c>
      <c r="AD2304" s="98">
        <f t="shared" si="770"/>
        <v>99.999290184433747</v>
      </c>
    </row>
    <row r="2305" spans="2:30">
      <c r="B2305" s="13">
        <f t="shared" si="772"/>
        <v>7</v>
      </c>
      <c r="C2305" s="74" t="s">
        <v>215</v>
      </c>
      <c r="D2305" s="74" t="s">
        <v>36</v>
      </c>
      <c r="E2305" s="204"/>
      <c r="F2305" s="204"/>
      <c r="G2305" s="193"/>
      <c r="H2305" s="89"/>
      <c r="I2305" s="89"/>
      <c r="J2305" s="15">
        <v>12000000</v>
      </c>
      <c r="K2305" s="99">
        <v>12000000</v>
      </c>
      <c r="L2305" s="13"/>
      <c r="M2305" s="17"/>
      <c r="N2305" s="17"/>
      <c r="O2305" s="17"/>
      <c r="P2305" s="17"/>
      <c r="Q2305" s="17"/>
      <c r="R2305" s="17"/>
      <c r="S2305" s="17"/>
      <c r="T2305" s="17"/>
      <c r="U2305" s="17"/>
      <c r="V2305" s="17"/>
      <c r="W2305" s="17"/>
      <c r="X2305" s="17"/>
      <c r="Y2305" s="98">
        <v>100</v>
      </c>
      <c r="Z2305" s="98">
        <v>80</v>
      </c>
      <c r="AA2305" s="22">
        <v>9562500</v>
      </c>
      <c r="AB2305" s="98">
        <f t="shared" si="769"/>
        <v>79.6875</v>
      </c>
      <c r="AC2305" s="20">
        <f t="shared" si="771"/>
        <v>9562500</v>
      </c>
      <c r="AD2305" s="98">
        <f t="shared" si="770"/>
        <v>79.6875</v>
      </c>
    </row>
    <row r="2306" spans="2:30" ht="25.5">
      <c r="B2306" s="13">
        <f t="shared" si="772"/>
        <v>8</v>
      </c>
      <c r="C2306" s="74" t="s">
        <v>216</v>
      </c>
      <c r="D2306" s="21" t="s">
        <v>38</v>
      </c>
      <c r="E2306" s="204"/>
      <c r="F2306" s="204"/>
      <c r="G2306" s="193"/>
      <c r="H2306" s="89"/>
      <c r="I2306" s="89"/>
      <c r="J2306" s="15">
        <v>8000000</v>
      </c>
      <c r="K2306" s="99">
        <v>8000000</v>
      </c>
      <c r="L2306" s="13"/>
      <c r="M2306" s="17"/>
      <c r="N2306" s="17"/>
      <c r="O2306" s="17"/>
      <c r="P2306" s="17"/>
      <c r="Q2306" s="17"/>
      <c r="R2306" s="17"/>
      <c r="S2306" s="17"/>
      <c r="T2306" s="17"/>
      <c r="U2306" s="17"/>
      <c r="V2306" s="17"/>
      <c r="W2306" s="17"/>
      <c r="X2306" s="17"/>
      <c r="Y2306" s="98">
        <v>90</v>
      </c>
      <c r="Z2306" s="98">
        <v>100</v>
      </c>
      <c r="AA2306" s="22">
        <v>8000000</v>
      </c>
      <c r="AB2306" s="98">
        <f t="shared" si="769"/>
        <v>100</v>
      </c>
      <c r="AC2306" s="20">
        <f t="shared" si="771"/>
        <v>8000000</v>
      </c>
      <c r="AD2306" s="20">
        <f t="shared" si="770"/>
        <v>100</v>
      </c>
    </row>
    <row r="2307" spans="2:30">
      <c r="B2307" s="13">
        <f t="shared" si="772"/>
        <v>9</v>
      </c>
      <c r="C2307" s="123" t="s">
        <v>863</v>
      </c>
      <c r="D2307" s="49" t="s">
        <v>864</v>
      </c>
      <c r="E2307" s="204"/>
      <c r="F2307" s="204"/>
      <c r="G2307" s="193"/>
      <c r="H2307" s="89"/>
      <c r="I2307" s="89"/>
      <c r="J2307" s="15">
        <v>20000000</v>
      </c>
      <c r="K2307" s="99">
        <v>20000000</v>
      </c>
      <c r="L2307" s="13"/>
      <c r="M2307" s="17"/>
      <c r="N2307" s="17"/>
      <c r="O2307" s="17"/>
      <c r="P2307" s="17"/>
      <c r="Q2307" s="17"/>
      <c r="R2307" s="17"/>
      <c r="S2307" s="17"/>
      <c r="T2307" s="17"/>
      <c r="U2307" s="17"/>
      <c r="V2307" s="17"/>
      <c r="W2307" s="17"/>
      <c r="X2307" s="17"/>
      <c r="Y2307" s="98">
        <v>90</v>
      </c>
      <c r="Z2307" s="98">
        <v>100</v>
      </c>
      <c r="AA2307" s="22">
        <v>20000000</v>
      </c>
      <c r="AB2307" s="98">
        <f t="shared" si="769"/>
        <v>100</v>
      </c>
      <c r="AC2307" s="20">
        <f t="shared" si="771"/>
        <v>20000000</v>
      </c>
      <c r="AD2307" s="20">
        <f t="shared" si="770"/>
        <v>100</v>
      </c>
    </row>
    <row r="2308" spans="2:30" ht="34.5" customHeight="1">
      <c r="B2308" s="13"/>
      <c r="C2308" s="86" t="s">
        <v>1326</v>
      </c>
      <c r="D2308" s="86" t="s">
        <v>1327</v>
      </c>
      <c r="E2308" s="204"/>
      <c r="F2308" s="204"/>
      <c r="G2308" s="193"/>
      <c r="H2308" s="89"/>
      <c r="I2308" s="89"/>
      <c r="J2308" s="88"/>
      <c r="K2308" s="88"/>
      <c r="L2308" s="13"/>
      <c r="M2308" s="17"/>
      <c r="N2308" s="17"/>
      <c r="O2308" s="17"/>
      <c r="P2308" s="17"/>
      <c r="Q2308" s="17"/>
      <c r="R2308" s="17"/>
      <c r="S2308" s="17"/>
      <c r="T2308" s="17"/>
      <c r="U2308" s="17"/>
      <c r="V2308" s="17"/>
      <c r="W2308" s="17"/>
      <c r="X2308" s="17"/>
      <c r="Y2308" s="98"/>
      <c r="Z2308" s="98"/>
      <c r="AA2308" s="22"/>
      <c r="AB2308" s="98"/>
      <c r="AC2308" s="20"/>
      <c r="AD2308" s="98"/>
    </row>
    <row r="2309" spans="2:30" ht="17.25" customHeight="1">
      <c r="B2309" s="13">
        <f>B2307+1</f>
        <v>10</v>
      </c>
      <c r="C2309" s="74" t="s">
        <v>377</v>
      </c>
      <c r="D2309" s="74" t="s">
        <v>1328</v>
      </c>
      <c r="E2309" s="204"/>
      <c r="F2309" s="204"/>
      <c r="G2309" s="193"/>
      <c r="H2309" s="89"/>
      <c r="I2309" s="89"/>
      <c r="J2309" s="15">
        <v>35000000</v>
      </c>
      <c r="K2309" s="99">
        <v>45000000</v>
      </c>
      <c r="L2309" s="13"/>
      <c r="M2309" s="17"/>
      <c r="N2309" s="17"/>
      <c r="O2309" s="17"/>
      <c r="P2309" s="17"/>
      <c r="Q2309" s="17"/>
      <c r="R2309" s="17"/>
      <c r="S2309" s="17"/>
      <c r="T2309" s="17"/>
      <c r="U2309" s="17"/>
      <c r="V2309" s="17"/>
      <c r="W2309" s="17"/>
      <c r="X2309" s="17"/>
      <c r="Y2309" s="20">
        <v>100</v>
      </c>
      <c r="Z2309" s="98">
        <v>100</v>
      </c>
      <c r="AA2309" s="22">
        <v>44622950</v>
      </c>
      <c r="AB2309" s="98">
        <f t="shared" si="769"/>
        <v>99.162111111111102</v>
      </c>
      <c r="AC2309" s="20">
        <f t="shared" ref="AC2309:AC2314" si="773">AA2309</f>
        <v>44622950</v>
      </c>
      <c r="AD2309" s="98">
        <f t="shared" si="770"/>
        <v>99.162111111111102</v>
      </c>
    </row>
    <row r="2310" spans="2:30" ht="20.25" customHeight="1">
      <c r="B2310" s="13">
        <f t="shared" ref="B2310:B2311" si="774">B2309+1</f>
        <v>11</v>
      </c>
      <c r="C2310" s="74" t="s">
        <v>614</v>
      </c>
      <c r="D2310" s="74" t="s">
        <v>1329</v>
      </c>
      <c r="E2310" s="204"/>
      <c r="F2310" s="204"/>
      <c r="G2310" s="193"/>
      <c r="H2310" s="89"/>
      <c r="I2310" s="89"/>
      <c r="J2310" s="15">
        <v>15000000</v>
      </c>
      <c r="K2310" s="99">
        <v>15000000</v>
      </c>
      <c r="L2310" s="13"/>
      <c r="M2310" s="17"/>
      <c r="N2310" s="17"/>
      <c r="O2310" s="17"/>
      <c r="P2310" s="17"/>
      <c r="Q2310" s="17"/>
      <c r="R2310" s="17"/>
      <c r="S2310" s="17"/>
      <c r="T2310" s="17"/>
      <c r="U2310" s="17"/>
      <c r="V2310" s="17"/>
      <c r="W2310" s="17"/>
      <c r="X2310" s="17"/>
      <c r="Y2310" s="20">
        <v>100</v>
      </c>
      <c r="Z2310" s="98">
        <v>99.6</v>
      </c>
      <c r="AA2310" s="22">
        <v>14950000</v>
      </c>
      <c r="AB2310" s="98">
        <f t="shared" si="769"/>
        <v>99.666666666666671</v>
      </c>
      <c r="AC2310" s="20">
        <f t="shared" si="773"/>
        <v>14950000</v>
      </c>
      <c r="AD2310" s="98">
        <f t="shared" si="770"/>
        <v>99.666666666666671</v>
      </c>
    </row>
    <row r="2311" spans="2:30" ht="20.25" customHeight="1">
      <c r="B2311" s="13">
        <f t="shared" si="774"/>
        <v>12</v>
      </c>
      <c r="C2311" s="74" t="s">
        <v>655</v>
      </c>
      <c r="D2311" s="717" t="s">
        <v>1330</v>
      </c>
      <c r="E2311" s="204"/>
      <c r="F2311" s="204"/>
      <c r="G2311" s="193"/>
      <c r="H2311" s="89"/>
      <c r="I2311" s="89"/>
      <c r="J2311" s="15">
        <v>40075000</v>
      </c>
      <c r="K2311" s="99">
        <v>61675000</v>
      </c>
      <c r="L2311" s="13"/>
      <c r="M2311" s="17"/>
      <c r="N2311" s="17"/>
      <c r="O2311" s="17"/>
      <c r="P2311" s="17"/>
      <c r="Q2311" s="17"/>
      <c r="R2311" s="17"/>
      <c r="S2311" s="17"/>
      <c r="T2311" s="17"/>
      <c r="U2311" s="17"/>
      <c r="V2311" s="17"/>
      <c r="W2311" s="17"/>
      <c r="X2311" s="17"/>
      <c r="Y2311" s="98">
        <v>85</v>
      </c>
      <c r="Z2311" s="98">
        <v>99</v>
      </c>
      <c r="AA2311" s="22">
        <v>61365000</v>
      </c>
      <c r="AB2311" s="98">
        <f t="shared" si="769"/>
        <v>99.497365220916095</v>
      </c>
      <c r="AC2311" s="20">
        <f t="shared" si="773"/>
        <v>61365000</v>
      </c>
      <c r="AD2311" s="98">
        <f t="shared" si="770"/>
        <v>99.497365220916095</v>
      </c>
    </row>
    <row r="2312" spans="2:30" ht="27">
      <c r="B2312" s="13">
        <f>B2311+1</f>
        <v>13</v>
      </c>
      <c r="C2312" s="74" t="s">
        <v>383</v>
      </c>
      <c r="D2312" s="74" t="s">
        <v>1331</v>
      </c>
      <c r="E2312" s="204"/>
      <c r="F2312" s="204"/>
      <c r="G2312" s="193"/>
      <c r="H2312" s="89"/>
      <c r="I2312" s="89"/>
      <c r="J2312" s="15">
        <v>150000000</v>
      </c>
      <c r="K2312" s="99">
        <v>182045000</v>
      </c>
      <c r="L2312" s="13"/>
      <c r="M2312" s="17"/>
      <c r="N2312" s="17"/>
      <c r="O2312" s="17"/>
      <c r="P2312" s="17"/>
      <c r="Q2312" s="17"/>
      <c r="R2312" s="17"/>
      <c r="S2312" s="17"/>
      <c r="T2312" s="17"/>
      <c r="U2312" s="17"/>
      <c r="V2312" s="17"/>
      <c r="W2312" s="17"/>
      <c r="X2312" s="17"/>
      <c r="Y2312" s="20">
        <v>100</v>
      </c>
      <c r="Z2312" s="98">
        <v>98</v>
      </c>
      <c r="AA2312" s="22">
        <v>179307000</v>
      </c>
      <c r="AB2312" s="98">
        <f t="shared" si="769"/>
        <v>98.495976269603673</v>
      </c>
      <c r="AC2312" s="20">
        <f t="shared" si="773"/>
        <v>179307000</v>
      </c>
      <c r="AD2312" s="98">
        <f t="shared" si="770"/>
        <v>98.495976269603673</v>
      </c>
    </row>
    <row r="2313" spans="2:30">
      <c r="B2313" s="13">
        <f>B2312+1</f>
        <v>14</v>
      </c>
      <c r="C2313" s="74" t="s">
        <v>623</v>
      </c>
      <c r="D2313" s="74" t="s">
        <v>1332</v>
      </c>
      <c r="E2313" s="204"/>
      <c r="F2313" s="204"/>
      <c r="G2313" s="193"/>
      <c r="H2313" s="89"/>
      <c r="I2313" s="89"/>
      <c r="J2313" s="15">
        <v>30000000</v>
      </c>
      <c r="K2313" s="99">
        <v>48855000</v>
      </c>
      <c r="L2313" s="57"/>
      <c r="M2313" s="25"/>
      <c r="N2313" s="18"/>
      <c r="O2313" s="401"/>
      <c r="P2313" s="401"/>
      <c r="Q2313" s="17"/>
      <c r="R2313" s="17"/>
      <c r="S2313" s="17"/>
      <c r="T2313" s="17"/>
      <c r="U2313" s="17"/>
      <c r="V2313" s="17"/>
      <c r="W2313" s="17"/>
      <c r="X2313" s="17"/>
      <c r="Y2313" s="20">
        <v>100</v>
      </c>
      <c r="Z2313" s="98">
        <v>100</v>
      </c>
      <c r="AA2313" s="22">
        <v>48855000</v>
      </c>
      <c r="AB2313" s="98">
        <f t="shared" si="769"/>
        <v>100</v>
      </c>
      <c r="AC2313" s="20">
        <f t="shared" si="773"/>
        <v>48855000</v>
      </c>
      <c r="AD2313" s="98">
        <f t="shared" si="770"/>
        <v>100</v>
      </c>
    </row>
    <row r="2314" spans="2:30" ht="30">
      <c r="B2314" s="13">
        <f>B2313+1</f>
        <v>15</v>
      </c>
      <c r="C2314" s="81">
        <v>16.015999999999998</v>
      </c>
      <c r="D2314" s="161" t="s">
        <v>2357</v>
      </c>
      <c r="E2314" s="204"/>
      <c r="F2314" s="204"/>
      <c r="G2314" s="193"/>
      <c r="H2314" s="89"/>
      <c r="I2314" s="89"/>
      <c r="J2314" s="15"/>
      <c r="K2314" s="99">
        <v>16000000</v>
      </c>
      <c r="L2314" s="57"/>
      <c r="M2314" s="25"/>
      <c r="N2314" s="18"/>
      <c r="O2314" s="401"/>
      <c r="P2314" s="401"/>
      <c r="Q2314" s="17"/>
      <c r="R2314" s="17"/>
      <c r="S2314" s="17"/>
      <c r="T2314" s="17"/>
      <c r="U2314" s="17"/>
      <c r="V2314" s="17"/>
      <c r="W2314" s="17"/>
      <c r="X2314" s="17"/>
      <c r="Y2314" s="20">
        <v>100</v>
      </c>
      <c r="Z2314" s="98">
        <v>100</v>
      </c>
      <c r="AA2314" s="22">
        <v>16000000</v>
      </c>
      <c r="AB2314" s="98">
        <f t="shared" si="769"/>
        <v>100</v>
      </c>
      <c r="AC2314" s="20">
        <f t="shared" si="773"/>
        <v>16000000</v>
      </c>
      <c r="AD2314" s="98">
        <f t="shared" si="770"/>
        <v>100</v>
      </c>
    </row>
    <row r="2315" spans="2:30">
      <c r="B2315" s="13"/>
      <c r="C2315" s="86" t="s">
        <v>1333</v>
      </c>
      <c r="D2315" s="86" t="s">
        <v>1334</v>
      </c>
      <c r="E2315" s="204"/>
      <c r="F2315" s="204"/>
      <c r="G2315" s="193"/>
      <c r="H2315" s="89"/>
      <c r="I2315" s="89"/>
      <c r="J2315" s="88"/>
      <c r="K2315" s="88"/>
      <c r="L2315" s="57"/>
      <c r="M2315" s="25"/>
      <c r="N2315" s="18"/>
      <c r="O2315" s="401"/>
      <c r="P2315" s="401"/>
      <c r="Q2315" s="17"/>
      <c r="R2315" s="17"/>
      <c r="S2315" s="17"/>
      <c r="T2315" s="17"/>
      <c r="U2315" s="17"/>
      <c r="V2315" s="17"/>
      <c r="W2315" s="17"/>
      <c r="X2315" s="17"/>
      <c r="Y2315" s="98"/>
      <c r="Z2315" s="98"/>
      <c r="AA2315" s="22"/>
      <c r="AB2315" s="98"/>
      <c r="AC2315" s="20"/>
      <c r="AD2315" s="98"/>
    </row>
    <row r="2316" spans="2:30" ht="18.75" customHeight="1">
      <c r="B2316" s="13">
        <f>B2313+1</f>
        <v>15</v>
      </c>
      <c r="C2316" s="74" t="s">
        <v>271</v>
      </c>
      <c r="D2316" s="74" t="s">
        <v>1335</v>
      </c>
      <c r="E2316" s="204"/>
      <c r="F2316" s="204"/>
      <c r="G2316" s="193"/>
      <c r="H2316" s="89"/>
      <c r="I2316" s="89"/>
      <c r="J2316" s="15">
        <v>15000000</v>
      </c>
      <c r="K2316" s="99">
        <v>20100000</v>
      </c>
      <c r="L2316" s="57"/>
      <c r="M2316" s="25"/>
      <c r="N2316" s="49"/>
      <c r="O2316" s="401"/>
      <c r="P2316" s="401"/>
      <c r="Q2316" s="17"/>
      <c r="R2316" s="17"/>
      <c r="S2316" s="17"/>
      <c r="T2316" s="17"/>
      <c r="U2316" s="17"/>
      <c r="V2316" s="17"/>
      <c r="W2316" s="17"/>
      <c r="X2316" s="17"/>
      <c r="Y2316" s="20">
        <v>100</v>
      </c>
      <c r="Z2316" s="20">
        <v>100</v>
      </c>
      <c r="AA2316" s="22">
        <v>19910000</v>
      </c>
      <c r="AB2316" s="98">
        <f t="shared" si="769"/>
        <v>99.054726368159209</v>
      </c>
      <c r="AC2316" s="20">
        <f>AA2316</f>
        <v>19910000</v>
      </c>
      <c r="AD2316" s="98">
        <f t="shared" si="770"/>
        <v>99.054726368159209</v>
      </c>
    </row>
    <row r="2317" spans="2:30" ht="21" customHeight="1">
      <c r="B2317" s="13">
        <f>B2316+1</f>
        <v>16</v>
      </c>
      <c r="C2317" s="74" t="s">
        <v>273</v>
      </c>
      <c r="D2317" s="74" t="s">
        <v>1336</v>
      </c>
      <c r="E2317" s="204"/>
      <c r="F2317" s="204"/>
      <c r="G2317" s="193"/>
      <c r="H2317" s="89"/>
      <c r="I2317" s="89"/>
      <c r="J2317" s="15">
        <v>50000000</v>
      </c>
      <c r="K2317" s="99">
        <v>50000000</v>
      </c>
      <c r="L2317" s="57"/>
      <c r="M2317" s="25"/>
      <c r="N2317" s="18"/>
      <c r="O2317" s="401"/>
      <c r="P2317" s="401"/>
      <c r="Q2317" s="17"/>
      <c r="R2317" s="17"/>
      <c r="S2317" s="17"/>
      <c r="T2317" s="17"/>
      <c r="U2317" s="17"/>
      <c r="V2317" s="17"/>
      <c r="W2317" s="17"/>
      <c r="X2317" s="17"/>
      <c r="Y2317" s="20">
        <v>100</v>
      </c>
      <c r="Z2317" s="20">
        <v>100</v>
      </c>
      <c r="AA2317" s="22">
        <v>49865000</v>
      </c>
      <c r="AB2317" s="98">
        <f t="shared" si="769"/>
        <v>99.72999999999999</v>
      </c>
      <c r="AC2317" s="20">
        <f>AA2317</f>
        <v>49865000</v>
      </c>
      <c r="AD2317" s="98">
        <f t="shared" si="770"/>
        <v>99.72999999999999</v>
      </c>
    </row>
    <row r="2318" spans="2:30" ht="19.5" customHeight="1">
      <c r="B2318" s="13">
        <f>B2317+1</f>
        <v>17</v>
      </c>
      <c r="C2318" s="74" t="s">
        <v>533</v>
      </c>
      <c r="D2318" s="74" t="s">
        <v>1337</v>
      </c>
      <c r="E2318" s="204"/>
      <c r="F2318" s="204"/>
      <c r="G2318" s="193"/>
      <c r="H2318" s="89"/>
      <c r="I2318" s="89"/>
      <c r="J2318" s="15">
        <v>15000000</v>
      </c>
      <c r="K2318" s="99">
        <v>31385000</v>
      </c>
      <c r="L2318" s="57"/>
      <c r="M2318" s="25"/>
      <c r="N2318" s="18"/>
      <c r="O2318" s="401"/>
      <c r="P2318" s="401"/>
      <c r="Q2318" s="17"/>
      <c r="R2318" s="17"/>
      <c r="S2318" s="17"/>
      <c r="T2318" s="17"/>
      <c r="U2318" s="17"/>
      <c r="V2318" s="17"/>
      <c r="W2318" s="17"/>
      <c r="X2318" s="17"/>
      <c r="Y2318" s="20">
        <v>100</v>
      </c>
      <c r="Z2318" s="20">
        <v>100</v>
      </c>
      <c r="AA2318" s="22">
        <v>31385000</v>
      </c>
      <c r="AB2318" s="98">
        <f t="shared" si="769"/>
        <v>100</v>
      </c>
      <c r="AC2318" s="20">
        <f>AA2318</f>
        <v>31385000</v>
      </c>
      <c r="AD2318" s="98">
        <f t="shared" si="770"/>
        <v>100</v>
      </c>
    </row>
    <row r="2319" spans="2:30" ht="18.75" customHeight="1">
      <c r="B2319" s="13">
        <f>B2318+1</f>
        <v>18</v>
      </c>
      <c r="C2319" s="74" t="s">
        <v>275</v>
      </c>
      <c r="D2319" s="74" t="s">
        <v>1338</v>
      </c>
      <c r="E2319" s="204"/>
      <c r="F2319" s="204"/>
      <c r="G2319" s="193"/>
      <c r="H2319" s="89"/>
      <c r="I2319" s="89"/>
      <c r="J2319" s="15">
        <v>45000000</v>
      </c>
      <c r="K2319" s="99">
        <v>49200000</v>
      </c>
      <c r="L2319" s="57"/>
      <c r="M2319" s="25"/>
      <c r="N2319" s="18"/>
      <c r="O2319" s="401"/>
      <c r="P2319" s="401"/>
      <c r="Q2319" s="17"/>
      <c r="R2319" s="17"/>
      <c r="S2319" s="17"/>
      <c r="T2319" s="17"/>
      <c r="U2319" s="17"/>
      <c r="V2319" s="17"/>
      <c r="W2319" s="17"/>
      <c r="X2319" s="17"/>
      <c r="Y2319" s="20">
        <v>100</v>
      </c>
      <c r="Z2319" s="20">
        <v>100</v>
      </c>
      <c r="AA2319" s="22">
        <v>48997600</v>
      </c>
      <c r="AB2319" s="98">
        <f t="shared" si="769"/>
        <v>99.588617886178866</v>
      </c>
      <c r="AC2319" s="20">
        <f>AA2319</f>
        <v>48997600</v>
      </c>
      <c r="AD2319" s="98">
        <f t="shared" si="770"/>
        <v>99.588617886178866</v>
      </c>
    </row>
    <row r="2320" spans="2:30" ht="25.5">
      <c r="B2320" s="13">
        <f>B2319+1</f>
        <v>19</v>
      </c>
      <c r="C2320" s="74" t="s">
        <v>277</v>
      </c>
      <c r="D2320" s="21" t="s">
        <v>1339</v>
      </c>
      <c r="E2320" s="204" t="s">
        <v>2091</v>
      </c>
      <c r="F2320" s="204"/>
      <c r="G2320" s="193"/>
      <c r="H2320" s="89"/>
      <c r="I2320" s="89"/>
      <c r="J2320" s="15">
        <v>322330000</v>
      </c>
      <c r="K2320" s="99">
        <v>322330000</v>
      </c>
      <c r="L2320" s="57"/>
      <c r="M2320" s="25"/>
      <c r="N2320" s="18"/>
      <c r="O2320" s="401"/>
      <c r="P2320" s="401"/>
      <c r="Q2320" s="17"/>
      <c r="R2320" s="17"/>
      <c r="S2320" s="17"/>
      <c r="T2320" s="17"/>
      <c r="U2320" s="17"/>
      <c r="V2320" s="17"/>
      <c r="W2320" s="17"/>
      <c r="X2320" s="17"/>
      <c r="Y2320" s="20">
        <v>100</v>
      </c>
      <c r="Z2320" s="20">
        <v>100</v>
      </c>
      <c r="AA2320" s="22">
        <v>321757000</v>
      </c>
      <c r="AB2320" s="98">
        <f t="shared" si="769"/>
        <v>99.822231874166221</v>
      </c>
      <c r="AC2320" s="20">
        <f t="shared" ref="AC2320:AC2321" si="775">AA2320</f>
        <v>321757000</v>
      </c>
      <c r="AD2320" s="98">
        <f t="shared" si="770"/>
        <v>99.822231874166221</v>
      </c>
    </row>
    <row r="2321" spans="1:30">
      <c r="B2321" s="13">
        <f>B2320+1</f>
        <v>20</v>
      </c>
      <c r="C2321" s="74" t="s">
        <v>279</v>
      </c>
      <c r="D2321" s="21" t="s">
        <v>1985</v>
      </c>
      <c r="E2321" s="204"/>
      <c r="F2321" s="204"/>
      <c r="G2321" s="193"/>
      <c r="H2321" s="89"/>
      <c r="I2321" s="89"/>
      <c r="J2321" s="15">
        <v>346380000</v>
      </c>
      <c r="K2321" s="99">
        <v>346380000</v>
      </c>
      <c r="L2321" s="57"/>
      <c r="M2321" s="25"/>
      <c r="N2321" s="18"/>
      <c r="O2321" s="401"/>
      <c r="P2321" s="401"/>
      <c r="Q2321" s="17"/>
      <c r="R2321" s="17"/>
      <c r="S2321" s="17"/>
      <c r="T2321" s="17"/>
      <c r="U2321" s="17"/>
      <c r="V2321" s="17"/>
      <c r="W2321" s="17"/>
      <c r="X2321" s="17"/>
      <c r="Y2321" s="20">
        <v>100</v>
      </c>
      <c r="Z2321" s="20">
        <v>100</v>
      </c>
      <c r="AA2321" s="22">
        <v>344069000</v>
      </c>
      <c r="AB2321" s="98">
        <f t="shared" si="769"/>
        <v>99.33281367284485</v>
      </c>
      <c r="AC2321" s="20">
        <f t="shared" si="775"/>
        <v>344069000</v>
      </c>
      <c r="AD2321" s="98">
        <f t="shared" si="770"/>
        <v>99.33281367284485</v>
      </c>
    </row>
    <row r="2322" spans="1:30" ht="38.25">
      <c r="B2322" s="13"/>
      <c r="C2322" s="74"/>
      <c r="D2322" s="21" t="s">
        <v>2081</v>
      </c>
      <c r="E2322" s="204"/>
      <c r="F2322" s="204"/>
      <c r="G2322" s="193"/>
      <c r="H2322" s="89"/>
      <c r="I2322" s="89"/>
      <c r="J2322" s="15">
        <v>107000000</v>
      </c>
      <c r="K2322" s="25"/>
      <c r="L2322" s="57"/>
      <c r="M2322" s="25"/>
      <c r="N2322" s="49" t="s">
        <v>2086</v>
      </c>
      <c r="O2322" s="401"/>
      <c r="P2322" s="401"/>
      <c r="Q2322" s="17"/>
      <c r="R2322" s="17"/>
      <c r="S2322" s="17"/>
      <c r="T2322" s="17"/>
      <c r="U2322" s="17"/>
      <c r="V2322" s="17"/>
      <c r="W2322" s="17"/>
      <c r="X2322" s="17"/>
      <c r="Y2322" s="98"/>
      <c r="Z2322" s="98"/>
      <c r="AA2322" s="22"/>
      <c r="AB2322" s="98"/>
      <c r="AC2322" s="20"/>
      <c r="AD2322" s="98"/>
    </row>
    <row r="2323" spans="1:30" ht="39" customHeight="1">
      <c r="B2323" s="13"/>
      <c r="C2323" s="74"/>
      <c r="D2323" s="21" t="s">
        <v>2082</v>
      </c>
      <c r="E2323" s="204"/>
      <c r="F2323" s="204"/>
      <c r="G2323" s="193"/>
      <c r="H2323" s="89"/>
      <c r="I2323" s="89"/>
      <c r="J2323" s="15">
        <v>100000000</v>
      </c>
      <c r="K2323" s="25"/>
      <c r="L2323" s="57"/>
      <c r="M2323" s="25"/>
      <c r="N2323" s="49" t="s">
        <v>1928</v>
      </c>
      <c r="O2323" s="401"/>
      <c r="P2323" s="401"/>
      <c r="Q2323" s="17"/>
      <c r="R2323" s="17"/>
      <c r="S2323" s="17"/>
      <c r="T2323" s="17"/>
      <c r="U2323" s="17"/>
      <c r="V2323" s="17"/>
      <c r="W2323" s="17"/>
      <c r="X2323" s="17"/>
      <c r="Y2323" s="98"/>
      <c r="Z2323" s="98"/>
      <c r="AA2323" s="22"/>
      <c r="AB2323" s="98"/>
      <c r="AC2323" s="20"/>
      <c r="AD2323" s="98"/>
    </row>
    <row r="2324" spans="1:30" ht="38.25">
      <c r="B2324" s="13"/>
      <c r="C2324" s="74"/>
      <c r="D2324" s="21" t="s">
        <v>2083</v>
      </c>
      <c r="E2324" s="204"/>
      <c r="F2324" s="204"/>
      <c r="G2324" s="193"/>
      <c r="H2324" s="89"/>
      <c r="I2324" s="89"/>
      <c r="J2324" s="15">
        <v>54000000</v>
      </c>
      <c r="K2324" s="25"/>
      <c r="L2324" s="57"/>
      <c r="M2324" s="25"/>
      <c r="N2324" s="49" t="s">
        <v>2087</v>
      </c>
      <c r="O2324" s="401"/>
      <c r="P2324" s="401"/>
      <c r="Q2324" s="17"/>
      <c r="R2324" s="17"/>
      <c r="S2324" s="17"/>
      <c r="T2324" s="17"/>
      <c r="U2324" s="17"/>
      <c r="V2324" s="17"/>
      <c r="W2324" s="17"/>
      <c r="X2324" s="17"/>
      <c r="Y2324" s="98"/>
      <c r="Z2324" s="98"/>
      <c r="AA2324" s="22"/>
      <c r="AB2324" s="98"/>
      <c r="AC2324" s="20"/>
      <c r="AD2324" s="98"/>
    </row>
    <row r="2325" spans="1:30">
      <c r="B2325" s="13"/>
      <c r="C2325" s="74"/>
      <c r="D2325" s="21" t="s">
        <v>2084</v>
      </c>
      <c r="E2325" s="204"/>
      <c r="F2325" s="204"/>
      <c r="G2325" s="193"/>
      <c r="H2325" s="89"/>
      <c r="I2325" s="89"/>
      <c r="J2325" s="15">
        <v>25320000</v>
      </c>
      <c r="K2325" s="25"/>
      <c r="L2325" s="57"/>
      <c r="M2325" s="25"/>
      <c r="N2325" s="18"/>
      <c r="O2325" s="401"/>
      <c r="P2325" s="401"/>
      <c r="Q2325" s="17"/>
      <c r="R2325" s="17"/>
      <c r="S2325" s="17"/>
      <c r="T2325" s="17"/>
      <c r="U2325" s="17"/>
      <c r="V2325" s="17"/>
      <c r="W2325" s="17"/>
      <c r="X2325" s="17"/>
      <c r="Y2325" s="98"/>
      <c r="Z2325" s="98"/>
      <c r="AA2325" s="22"/>
      <c r="AB2325" s="98"/>
      <c r="AC2325" s="20"/>
      <c r="AD2325" s="98"/>
    </row>
    <row r="2326" spans="1:30" ht="38.25">
      <c r="B2326" s="13"/>
      <c r="C2326" s="74"/>
      <c r="D2326" s="21" t="s">
        <v>2085</v>
      </c>
      <c r="E2326" s="204"/>
      <c r="F2326" s="204"/>
      <c r="G2326" s="193"/>
      <c r="H2326" s="89"/>
      <c r="I2326" s="89"/>
      <c r="J2326" s="15">
        <v>39000000</v>
      </c>
      <c r="K2326" s="25"/>
      <c r="L2326" s="57"/>
      <c r="M2326" s="25"/>
      <c r="N2326" s="49" t="s">
        <v>2088</v>
      </c>
      <c r="O2326" s="401"/>
      <c r="P2326" s="401"/>
      <c r="Q2326" s="17"/>
      <c r="R2326" s="17"/>
      <c r="S2326" s="17"/>
      <c r="T2326" s="17"/>
      <c r="U2326" s="17"/>
      <c r="V2326" s="17"/>
      <c r="W2326" s="17"/>
      <c r="X2326" s="17"/>
      <c r="Y2326" s="98"/>
      <c r="Z2326" s="98"/>
      <c r="AA2326" s="22"/>
      <c r="AB2326" s="98"/>
      <c r="AC2326" s="20"/>
      <c r="AD2326" s="98"/>
    </row>
    <row r="2327" spans="1:30" ht="27">
      <c r="B2327" s="13"/>
      <c r="C2327" s="86" t="s">
        <v>1340</v>
      </c>
      <c r="D2327" s="86" t="s">
        <v>1341</v>
      </c>
      <c r="E2327" s="204"/>
      <c r="F2327" s="204"/>
      <c r="G2327" s="193"/>
      <c r="H2327" s="89"/>
      <c r="I2327" s="89"/>
      <c r="J2327" s="88"/>
      <c r="K2327" s="88"/>
      <c r="L2327" s="57"/>
      <c r="M2327" s="77"/>
      <c r="N2327" s="18"/>
      <c r="O2327" s="412"/>
      <c r="P2327" s="401"/>
      <c r="Q2327" s="17"/>
      <c r="R2327" s="17"/>
      <c r="S2327" s="17"/>
      <c r="T2327" s="17"/>
      <c r="U2327" s="17"/>
      <c r="V2327" s="17"/>
      <c r="W2327" s="17"/>
      <c r="X2327" s="17"/>
      <c r="Y2327" s="98"/>
      <c r="Z2327" s="98"/>
      <c r="AA2327" s="22"/>
      <c r="AB2327" s="98"/>
      <c r="AC2327" s="20"/>
      <c r="AD2327" s="98"/>
    </row>
    <row r="2328" spans="1:30" ht="25.5">
      <c r="B2328" s="13">
        <v>21</v>
      </c>
      <c r="C2328" s="74" t="s">
        <v>219</v>
      </c>
      <c r="D2328" s="21" t="s">
        <v>1342</v>
      </c>
      <c r="E2328" s="204"/>
      <c r="F2328" s="204"/>
      <c r="G2328" s="193"/>
      <c r="H2328" s="89"/>
      <c r="I2328" s="89"/>
      <c r="J2328" s="15">
        <v>57168000</v>
      </c>
      <c r="K2328" s="99">
        <v>57168000</v>
      </c>
      <c r="L2328" s="57"/>
      <c r="M2328" s="77"/>
      <c r="N2328" s="18"/>
      <c r="O2328" s="412"/>
      <c r="P2328" s="401"/>
      <c r="Q2328" s="17"/>
      <c r="R2328" s="17"/>
      <c r="S2328" s="17"/>
      <c r="T2328" s="17"/>
      <c r="U2328" s="17"/>
      <c r="V2328" s="17"/>
      <c r="W2328" s="17"/>
      <c r="X2328" s="17"/>
      <c r="Y2328" s="20">
        <v>100</v>
      </c>
      <c r="Z2328" s="98">
        <v>100</v>
      </c>
      <c r="AA2328" s="22">
        <v>57168000</v>
      </c>
      <c r="AB2328" s="98">
        <f t="shared" si="769"/>
        <v>100</v>
      </c>
      <c r="AC2328" s="20">
        <f>AA2328</f>
        <v>57168000</v>
      </c>
      <c r="AD2328" s="98">
        <f t="shared" si="770"/>
        <v>100</v>
      </c>
    </row>
    <row r="2329" spans="1:30" ht="25.5">
      <c r="A2329" s="72"/>
      <c r="B2329" s="13">
        <f>B2328+1</f>
        <v>22</v>
      </c>
      <c r="C2329" s="74" t="s">
        <v>600</v>
      </c>
      <c r="D2329" s="21" t="s">
        <v>1343</v>
      </c>
      <c r="E2329" s="204"/>
      <c r="F2329" s="204"/>
      <c r="G2329" s="193"/>
      <c r="H2329" s="89"/>
      <c r="I2329" s="89"/>
      <c r="J2329" s="15">
        <v>10000000</v>
      </c>
      <c r="K2329" s="99">
        <v>10000000</v>
      </c>
      <c r="L2329" s="57"/>
      <c r="M2329" s="77"/>
      <c r="N2329" s="18"/>
      <c r="O2329" s="412"/>
      <c r="P2329" s="401"/>
      <c r="Q2329" s="17"/>
      <c r="R2329" s="17"/>
      <c r="S2329" s="17"/>
      <c r="T2329" s="17"/>
      <c r="U2329" s="17"/>
      <c r="V2329" s="17"/>
      <c r="W2329" s="17"/>
      <c r="X2329" s="17"/>
      <c r="Y2329" s="98">
        <v>90</v>
      </c>
      <c r="Z2329" s="98">
        <v>100</v>
      </c>
      <c r="AA2329" s="22">
        <v>9898000</v>
      </c>
      <c r="AB2329" s="98">
        <f t="shared" si="769"/>
        <v>98.98</v>
      </c>
      <c r="AC2329" s="20">
        <f>AA2329</f>
        <v>9898000</v>
      </c>
      <c r="AD2329" s="98">
        <f t="shared" si="770"/>
        <v>98.98</v>
      </c>
    </row>
    <row r="2330" spans="1:30">
      <c r="B2330" s="13">
        <f>B2329+1</f>
        <v>23</v>
      </c>
      <c r="C2330" s="74" t="s">
        <v>564</v>
      </c>
      <c r="D2330" s="21" t="s">
        <v>1344</v>
      </c>
      <c r="E2330" s="204"/>
      <c r="F2330" s="204"/>
      <c r="G2330" s="193"/>
      <c r="H2330" s="89"/>
      <c r="I2330" s="89"/>
      <c r="J2330" s="15">
        <v>10000000</v>
      </c>
      <c r="K2330" s="99">
        <v>0</v>
      </c>
      <c r="L2330" s="57"/>
      <c r="M2330" s="77"/>
      <c r="N2330" s="18"/>
      <c r="O2330" s="412"/>
      <c r="P2330" s="401"/>
      <c r="Q2330" s="17"/>
      <c r="R2330" s="17"/>
      <c r="S2330" s="17"/>
      <c r="T2330" s="17"/>
      <c r="U2330" s="17"/>
      <c r="V2330" s="17"/>
      <c r="W2330" s="17"/>
      <c r="X2330" s="17"/>
      <c r="Y2330" s="98">
        <v>0</v>
      </c>
      <c r="Z2330" s="98">
        <v>0</v>
      </c>
      <c r="AA2330" s="22">
        <v>0</v>
      </c>
      <c r="AB2330" s="98">
        <v>0</v>
      </c>
      <c r="AC2330" s="20">
        <v>0</v>
      </c>
      <c r="AD2330" s="98">
        <v>0</v>
      </c>
    </row>
    <row r="2331" spans="1:30" ht="38.25">
      <c r="B2331" s="13">
        <f>B2330+1</f>
        <v>24</v>
      </c>
      <c r="C2331" s="74" t="s">
        <v>644</v>
      </c>
      <c r="D2331" s="21" t="s">
        <v>1345</v>
      </c>
      <c r="E2331" s="204"/>
      <c r="F2331" s="204"/>
      <c r="G2331" s="193"/>
      <c r="H2331" s="89"/>
      <c r="I2331" s="89"/>
      <c r="J2331" s="15">
        <v>1802449000</v>
      </c>
      <c r="K2331" s="99">
        <v>1794201000</v>
      </c>
      <c r="L2331" s="57"/>
      <c r="M2331" s="77"/>
      <c r="N2331" s="18"/>
      <c r="O2331" s="412"/>
      <c r="P2331" s="401"/>
      <c r="Q2331" s="17"/>
      <c r="R2331" s="17"/>
      <c r="S2331" s="17"/>
      <c r="T2331" s="17"/>
      <c r="U2331" s="17"/>
      <c r="V2331" s="17"/>
      <c r="W2331" s="17"/>
      <c r="X2331" s="17"/>
      <c r="Y2331" s="20">
        <v>100</v>
      </c>
      <c r="Z2331" s="98">
        <v>100</v>
      </c>
      <c r="AA2331" s="22">
        <v>1727603000</v>
      </c>
      <c r="AB2331" s="98">
        <f t="shared" si="769"/>
        <v>96.288152776639862</v>
      </c>
      <c r="AC2331" s="20">
        <f t="shared" ref="AC2331:AC2359" si="776">AA2331</f>
        <v>1727603000</v>
      </c>
      <c r="AD2331" s="98">
        <f t="shared" si="770"/>
        <v>96.288152776639862</v>
      </c>
    </row>
    <row r="2332" spans="1:30" ht="51">
      <c r="B2332" s="13"/>
      <c r="C2332" s="74"/>
      <c r="D2332" s="21" t="s">
        <v>1898</v>
      </c>
      <c r="E2332" s="204"/>
      <c r="F2332" s="204"/>
      <c r="G2332" s="193"/>
      <c r="H2332" s="89"/>
      <c r="I2332" s="89"/>
      <c r="J2332" s="15">
        <v>99000000</v>
      </c>
      <c r="K2332" s="15">
        <v>99000000</v>
      </c>
      <c r="L2332" s="57" t="s">
        <v>1913</v>
      </c>
      <c r="M2332" s="77">
        <v>98647000</v>
      </c>
      <c r="N2332" s="49" t="s">
        <v>1914</v>
      </c>
      <c r="O2332" s="412"/>
      <c r="P2332" s="401"/>
      <c r="Q2332" s="17"/>
      <c r="R2332" s="17"/>
      <c r="S2332" s="17"/>
      <c r="T2332" s="17"/>
      <c r="U2332" s="17"/>
      <c r="V2332" s="17"/>
      <c r="W2332" s="17"/>
      <c r="X2332" s="17"/>
      <c r="Y2332" s="98"/>
      <c r="Z2332" s="98">
        <v>100</v>
      </c>
      <c r="AA2332" s="22">
        <f>M2332</f>
        <v>98647000</v>
      </c>
      <c r="AB2332" s="98">
        <f>AA2332/M2332*100</f>
        <v>100</v>
      </c>
      <c r="AC2332" s="20">
        <f>AA2332</f>
        <v>98647000</v>
      </c>
      <c r="AD2332" s="98">
        <f t="shared" si="770"/>
        <v>99.64343434343435</v>
      </c>
    </row>
    <row r="2333" spans="1:30" ht="38.25">
      <c r="B2333" s="13"/>
      <c r="C2333" s="74"/>
      <c r="D2333" s="21" t="s">
        <v>1899</v>
      </c>
      <c r="E2333" s="204"/>
      <c r="F2333" s="204"/>
      <c r="G2333" s="193"/>
      <c r="H2333" s="89"/>
      <c r="I2333" s="89"/>
      <c r="J2333" s="15">
        <v>66000000</v>
      </c>
      <c r="K2333" s="15">
        <v>66000000</v>
      </c>
      <c r="L2333" s="57" t="s">
        <v>1913</v>
      </c>
      <c r="M2333" s="77">
        <v>65750000</v>
      </c>
      <c r="N2333" s="49" t="s">
        <v>1915</v>
      </c>
      <c r="O2333" s="412"/>
      <c r="P2333" s="401"/>
      <c r="Q2333" s="17"/>
      <c r="R2333" s="17"/>
      <c r="S2333" s="17"/>
      <c r="T2333" s="17"/>
      <c r="U2333" s="17"/>
      <c r="V2333" s="17"/>
      <c r="W2333" s="17"/>
      <c r="X2333" s="17"/>
      <c r="Y2333" s="98"/>
      <c r="Z2333" s="98">
        <v>100</v>
      </c>
      <c r="AA2333" s="22">
        <f t="shared" ref="AA2333:AA2358" si="777">M2333</f>
        <v>65750000</v>
      </c>
      <c r="AB2333" s="98">
        <f t="shared" ref="AB2333:AB2358" si="778">AA2333/M2333*100</f>
        <v>100</v>
      </c>
      <c r="AC2333" s="20">
        <f>AA2333</f>
        <v>65750000</v>
      </c>
      <c r="AD2333" s="98">
        <f t="shared" si="770"/>
        <v>99.621212121212125</v>
      </c>
    </row>
    <row r="2334" spans="1:30" ht="38.25">
      <c r="B2334" s="13"/>
      <c r="C2334" s="74"/>
      <c r="D2334" s="21" t="s">
        <v>1900</v>
      </c>
      <c r="E2334" s="204"/>
      <c r="F2334" s="204"/>
      <c r="G2334" s="193"/>
      <c r="H2334" s="89"/>
      <c r="I2334" s="89"/>
      <c r="J2334" s="15">
        <v>88000000</v>
      </c>
      <c r="K2334" s="15">
        <v>88000000</v>
      </c>
      <c r="L2334" s="57" t="s">
        <v>1913</v>
      </c>
      <c r="M2334" s="77">
        <v>87900000</v>
      </c>
      <c r="N2334" s="49" t="s">
        <v>1916</v>
      </c>
      <c r="O2334" s="412"/>
      <c r="P2334" s="401"/>
      <c r="Q2334" s="17"/>
      <c r="R2334" s="17"/>
      <c r="S2334" s="17"/>
      <c r="T2334" s="17"/>
      <c r="U2334" s="17"/>
      <c r="V2334" s="17"/>
      <c r="W2334" s="17"/>
      <c r="X2334" s="17"/>
      <c r="Y2334" s="98"/>
      <c r="Z2334" s="98">
        <v>100</v>
      </c>
      <c r="AA2334" s="22">
        <f t="shared" si="777"/>
        <v>87900000</v>
      </c>
      <c r="AB2334" s="98">
        <f t="shared" si="778"/>
        <v>100</v>
      </c>
      <c r="AC2334" s="20">
        <f t="shared" ref="AC2334:AC2358" si="779">AA2334</f>
        <v>87900000</v>
      </c>
      <c r="AD2334" s="98">
        <f t="shared" si="770"/>
        <v>99.88636363636364</v>
      </c>
    </row>
    <row r="2335" spans="1:30" ht="38.25">
      <c r="B2335" s="13"/>
      <c r="C2335" s="74"/>
      <c r="D2335" s="21" t="s">
        <v>1901</v>
      </c>
      <c r="E2335" s="204"/>
      <c r="F2335" s="204"/>
      <c r="G2335" s="193"/>
      <c r="H2335" s="89"/>
      <c r="I2335" s="89"/>
      <c r="J2335" s="15">
        <v>77000000</v>
      </c>
      <c r="K2335" s="15">
        <v>77000000</v>
      </c>
      <c r="L2335" s="57" t="s">
        <v>1913</v>
      </c>
      <c r="M2335" s="77">
        <v>63700000</v>
      </c>
      <c r="N2335" s="49" t="s">
        <v>1917</v>
      </c>
      <c r="O2335" s="412"/>
      <c r="P2335" s="401"/>
      <c r="Q2335" s="17"/>
      <c r="R2335" s="17"/>
      <c r="S2335" s="17"/>
      <c r="T2335" s="17"/>
      <c r="U2335" s="17"/>
      <c r="V2335" s="17"/>
      <c r="W2335" s="17"/>
      <c r="X2335" s="17"/>
      <c r="Y2335" s="98"/>
      <c r="Z2335" s="98">
        <v>100</v>
      </c>
      <c r="AA2335" s="22">
        <f t="shared" si="777"/>
        <v>63700000</v>
      </c>
      <c r="AB2335" s="98">
        <f t="shared" si="778"/>
        <v>100</v>
      </c>
      <c r="AC2335" s="20">
        <f t="shared" si="779"/>
        <v>63700000</v>
      </c>
      <c r="AD2335" s="98">
        <f t="shared" si="770"/>
        <v>82.727272727272734</v>
      </c>
    </row>
    <row r="2336" spans="1:30" ht="38.25">
      <c r="B2336" s="13"/>
      <c r="C2336" s="74"/>
      <c r="D2336" s="21" t="s">
        <v>1902</v>
      </c>
      <c r="E2336" s="204"/>
      <c r="F2336" s="204"/>
      <c r="G2336" s="193"/>
      <c r="H2336" s="89"/>
      <c r="I2336" s="89"/>
      <c r="J2336" s="15">
        <v>77000000</v>
      </c>
      <c r="K2336" s="15">
        <v>77000000</v>
      </c>
      <c r="L2336" s="57" t="s">
        <v>1913</v>
      </c>
      <c r="M2336" s="77">
        <v>75500000</v>
      </c>
      <c r="N2336" s="49" t="s">
        <v>1918</v>
      </c>
      <c r="O2336" s="412"/>
      <c r="P2336" s="401"/>
      <c r="Q2336" s="17"/>
      <c r="R2336" s="17"/>
      <c r="S2336" s="17"/>
      <c r="T2336" s="17"/>
      <c r="U2336" s="17"/>
      <c r="V2336" s="17"/>
      <c r="W2336" s="17"/>
      <c r="X2336" s="17"/>
      <c r="Y2336" s="98"/>
      <c r="Z2336" s="98">
        <v>100</v>
      </c>
      <c r="AA2336" s="22">
        <f t="shared" si="777"/>
        <v>75500000</v>
      </c>
      <c r="AB2336" s="98">
        <f t="shared" si="778"/>
        <v>100</v>
      </c>
      <c r="AC2336" s="20">
        <f t="shared" si="779"/>
        <v>75500000</v>
      </c>
      <c r="AD2336" s="98">
        <f t="shared" si="770"/>
        <v>98.05194805194806</v>
      </c>
    </row>
    <row r="2337" spans="2:30" ht="51">
      <c r="B2337" s="13"/>
      <c r="C2337" s="74"/>
      <c r="D2337" s="21" t="s">
        <v>1903</v>
      </c>
      <c r="E2337" s="204"/>
      <c r="F2337" s="204"/>
      <c r="G2337" s="193"/>
      <c r="H2337" s="89"/>
      <c r="I2337" s="89"/>
      <c r="J2337" s="15">
        <v>184250000</v>
      </c>
      <c r="K2337" s="15">
        <v>184250000</v>
      </c>
      <c r="L2337" s="57" t="s">
        <v>1913</v>
      </c>
      <c r="M2337" s="77">
        <v>180700000</v>
      </c>
      <c r="N2337" s="49" t="s">
        <v>1919</v>
      </c>
      <c r="O2337" s="412"/>
      <c r="P2337" s="401"/>
      <c r="Q2337" s="17"/>
      <c r="R2337" s="17"/>
      <c r="S2337" s="17"/>
      <c r="T2337" s="17"/>
      <c r="U2337" s="17"/>
      <c r="V2337" s="17"/>
      <c r="W2337" s="17"/>
      <c r="X2337" s="17"/>
      <c r="Y2337" s="98"/>
      <c r="Z2337" s="98">
        <v>100</v>
      </c>
      <c r="AA2337" s="22">
        <f t="shared" si="777"/>
        <v>180700000</v>
      </c>
      <c r="AB2337" s="98">
        <f t="shared" si="778"/>
        <v>100</v>
      </c>
      <c r="AC2337" s="20">
        <f t="shared" si="779"/>
        <v>180700000</v>
      </c>
      <c r="AD2337" s="98">
        <f t="shared" si="770"/>
        <v>98.073270013568532</v>
      </c>
    </row>
    <row r="2338" spans="2:30" ht="38.25">
      <c r="B2338" s="13"/>
      <c r="C2338" s="74"/>
      <c r="D2338" s="21" t="s">
        <v>1904</v>
      </c>
      <c r="E2338" s="204"/>
      <c r="F2338" s="204"/>
      <c r="G2338" s="193"/>
      <c r="H2338" s="89"/>
      <c r="I2338" s="89"/>
      <c r="J2338" s="15">
        <v>52250000</v>
      </c>
      <c r="K2338" s="15">
        <v>52250000</v>
      </c>
      <c r="L2338" s="57" t="s">
        <v>1913</v>
      </c>
      <c r="M2338" s="77">
        <v>51000000</v>
      </c>
      <c r="N2338" s="49" t="s">
        <v>1920</v>
      </c>
      <c r="O2338" s="412"/>
      <c r="P2338" s="401"/>
      <c r="Q2338" s="17"/>
      <c r="R2338" s="17"/>
      <c r="S2338" s="17"/>
      <c r="T2338" s="17"/>
      <c r="U2338" s="17"/>
      <c r="V2338" s="17"/>
      <c r="W2338" s="17"/>
      <c r="X2338" s="17"/>
      <c r="Y2338" s="98"/>
      <c r="Z2338" s="98">
        <v>100</v>
      </c>
      <c r="AA2338" s="22">
        <f t="shared" si="777"/>
        <v>51000000</v>
      </c>
      <c r="AB2338" s="98">
        <f t="shared" si="778"/>
        <v>100</v>
      </c>
      <c r="AC2338" s="20">
        <f t="shared" si="779"/>
        <v>51000000</v>
      </c>
      <c r="AD2338" s="98">
        <f t="shared" si="770"/>
        <v>97.607655502392348</v>
      </c>
    </row>
    <row r="2339" spans="2:30" ht="51">
      <c r="B2339" s="13"/>
      <c r="C2339" s="74"/>
      <c r="D2339" s="21" t="s">
        <v>1905</v>
      </c>
      <c r="E2339" s="204"/>
      <c r="F2339" s="204"/>
      <c r="G2339" s="193"/>
      <c r="H2339" s="89"/>
      <c r="I2339" s="89"/>
      <c r="J2339" s="15">
        <v>56100000</v>
      </c>
      <c r="K2339" s="15">
        <v>56100000</v>
      </c>
      <c r="L2339" s="57" t="s">
        <v>1913</v>
      </c>
      <c r="M2339" s="77">
        <v>54500000</v>
      </c>
      <c r="N2339" s="49" t="s">
        <v>1921</v>
      </c>
      <c r="O2339" s="412"/>
      <c r="P2339" s="401"/>
      <c r="Q2339" s="17"/>
      <c r="R2339" s="17"/>
      <c r="S2339" s="17"/>
      <c r="T2339" s="17"/>
      <c r="U2339" s="17"/>
      <c r="V2339" s="17"/>
      <c r="W2339" s="17"/>
      <c r="X2339" s="17"/>
      <c r="Y2339" s="98"/>
      <c r="Z2339" s="98">
        <v>100</v>
      </c>
      <c r="AA2339" s="22">
        <f t="shared" si="777"/>
        <v>54500000</v>
      </c>
      <c r="AB2339" s="98">
        <f t="shared" si="778"/>
        <v>100</v>
      </c>
      <c r="AC2339" s="20">
        <f t="shared" si="779"/>
        <v>54500000</v>
      </c>
      <c r="AD2339" s="98">
        <f t="shared" si="770"/>
        <v>97.147950089126553</v>
      </c>
    </row>
    <row r="2340" spans="2:30">
      <c r="B2340" s="13"/>
      <c r="C2340" s="74"/>
      <c r="D2340" s="21" t="s">
        <v>1906</v>
      </c>
      <c r="E2340" s="204"/>
      <c r="F2340" s="204"/>
      <c r="G2340" s="193"/>
      <c r="H2340" s="89"/>
      <c r="I2340" s="89"/>
      <c r="J2340" s="15">
        <v>61600000</v>
      </c>
      <c r="K2340" s="15">
        <v>61600000</v>
      </c>
      <c r="L2340" s="57" t="s">
        <v>1913</v>
      </c>
      <c r="M2340" s="77">
        <v>60100000</v>
      </c>
      <c r="N2340" s="18" t="s">
        <v>1922</v>
      </c>
      <c r="O2340" s="412"/>
      <c r="P2340" s="401"/>
      <c r="Q2340" s="17"/>
      <c r="R2340" s="17"/>
      <c r="S2340" s="17"/>
      <c r="T2340" s="17"/>
      <c r="U2340" s="17"/>
      <c r="V2340" s="17"/>
      <c r="W2340" s="17"/>
      <c r="X2340" s="17"/>
      <c r="Y2340" s="98"/>
      <c r="Z2340" s="98">
        <v>100</v>
      </c>
      <c r="AA2340" s="22">
        <f t="shared" si="777"/>
        <v>60100000</v>
      </c>
      <c r="AB2340" s="98">
        <f t="shared" si="778"/>
        <v>100</v>
      </c>
      <c r="AC2340" s="20">
        <f t="shared" si="779"/>
        <v>60100000</v>
      </c>
      <c r="AD2340" s="98">
        <f t="shared" si="770"/>
        <v>97.564935064935071</v>
      </c>
    </row>
    <row r="2341" spans="2:30" ht="38.25">
      <c r="B2341" s="13"/>
      <c r="C2341" s="74"/>
      <c r="D2341" s="21" t="s">
        <v>1907</v>
      </c>
      <c r="E2341" s="204"/>
      <c r="F2341" s="204"/>
      <c r="G2341" s="193"/>
      <c r="H2341" s="89"/>
      <c r="I2341" s="89"/>
      <c r="J2341" s="15">
        <v>30800000</v>
      </c>
      <c r="K2341" s="15">
        <v>30800000</v>
      </c>
      <c r="L2341" s="57" t="s">
        <v>1913</v>
      </c>
      <c r="M2341" s="77">
        <v>28845000</v>
      </c>
      <c r="N2341" s="49" t="s">
        <v>1923</v>
      </c>
      <c r="O2341" s="412"/>
      <c r="P2341" s="401"/>
      <c r="Q2341" s="17"/>
      <c r="R2341" s="17"/>
      <c r="S2341" s="17"/>
      <c r="T2341" s="17"/>
      <c r="U2341" s="17"/>
      <c r="V2341" s="17"/>
      <c r="W2341" s="17"/>
      <c r="X2341" s="17"/>
      <c r="Y2341" s="98"/>
      <c r="Z2341" s="98">
        <v>100</v>
      </c>
      <c r="AA2341" s="22">
        <f t="shared" si="777"/>
        <v>28845000</v>
      </c>
      <c r="AB2341" s="98">
        <f t="shared" si="778"/>
        <v>100</v>
      </c>
      <c r="AC2341" s="20">
        <f t="shared" si="779"/>
        <v>28845000</v>
      </c>
      <c r="AD2341" s="98">
        <f t="shared" si="770"/>
        <v>93.652597402597408</v>
      </c>
    </row>
    <row r="2342" spans="2:30" ht="38.25">
      <c r="B2342" s="13"/>
      <c r="C2342" s="74"/>
      <c r="D2342" s="21" t="s">
        <v>1908</v>
      </c>
      <c r="E2342" s="204"/>
      <c r="F2342" s="204"/>
      <c r="G2342" s="193"/>
      <c r="H2342" s="89"/>
      <c r="I2342" s="89"/>
      <c r="J2342" s="15">
        <v>77000000</v>
      </c>
      <c r="K2342" s="15">
        <v>77000000</v>
      </c>
      <c r="L2342" s="57" t="s">
        <v>1913</v>
      </c>
      <c r="M2342" s="77">
        <v>70800000</v>
      </c>
      <c r="N2342" s="49" t="s">
        <v>1924</v>
      </c>
      <c r="O2342" s="412"/>
      <c r="P2342" s="401"/>
      <c r="Q2342" s="17"/>
      <c r="R2342" s="17"/>
      <c r="S2342" s="17"/>
      <c r="T2342" s="17"/>
      <c r="U2342" s="17"/>
      <c r="V2342" s="17"/>
      <c r="W2342" s="17"/>
      <c r="X2342" s="17"/>
      <c r="Y2342" s="98"/>
      <c r="Z2342" s="98">
        <v>100</v>
      </c>
      <c r="AA2342" s="22">
        <f t="shared" si="777"/>
        <v>70800000</v>
      </c>
      <c r="AB2342" s="98">
        <f t="shared" si="778"/>
        <v>100</v>
      </c>
      <c r="AC2342" s="20">
        <f t="shared" si="779"/>
        <v>70800000</v>
      </c>
      <c r="AD2342" s="98">
        <f t="shared" si="770"/>
        <v>91.94805194805194</v>
      </c>
    </row>
    <row r="2343" spans="2:30" ht="38.25">
      <c r="B2343" s="13"/>
      <c r="C2343" s="74"/>
      <c r="D2343" s="21" t="s">
        <v>1909</v>
      </c>
      <c r="E2343" s="204"/>
      <c r="F2343" s="204"/>
      <c r="G2343" s="193"/>
      <c r="H2343" s="89"/>
      <c r="I2343" s="89"/>
      <c r="J2343" s="15">
        <v>123750000</v>
      </c>
      <c r="K2343" s="15">
        <v>123750000</v>
      </c>
      <c r="L2343" s="57" t="s">
        <v>1913</v>
      </c>
      <c r="M2343" s="77">
        <v>120334000</v>
      </c>
      <c r="N2343" s="49" t="s">
        <v>1925</v>
      </c>
      <c r="O2343" s="412"/>
      <c r="P2343" s="401"/>
      <c r="Q2343" s="17"/>
      <c r="R2343" s="17"/>
      <c r="S2343" s="17"/>
      <c r="T2343" s="17"/>
      <c r="U2343" s="17"/>
      <c r="V2343" s="17"/>
      <c r="W2343" s="17"/>
      <c r="X2343" s="17"/>
      <c r="Y2343" s="98"/>
      <c r="Z2343" s="98">
        <v>100</v>
      </c>
      <c r="AA2343" s="22">
        <f t="shared" si="777"/>
        <v>120334000</v>
      </c>
      <c r="AB2343" s="98">
        <f t="shared" si="778"/>
        <v>100</v>
      </c>
      <c r="AC2343" s="20">
        <f t="shared" si="779"/>
        <v>120334000</v>
      </c>
      <c r="AD2343" s="98">
        <f t="shared" si="770"/>
        <v>97.23959595959596</v>
      </c>
    </row>
    <row r="2344" spans="2:30" ht="38.25">
      <c r="B2344" s="13"/>
      <c r="C2344" s="74"/>
      <c r="D2344" s="21" t="s">
        <v>1910</v>
      </c>
      <c r="E2344" s="204"/>
      <c r="F2344" s="204"/>
      <c r="G2344" s="193"/>
      <c r="H2344" s="89"/>
      <c r="I2344" s="89"/>
      <c r="J2344" s="15">
        <v>33000000</v>
      </c>
      <c r="K2344" s="15">
        <v>33000000</v>
      </c>
      <c r="L2344" s="57" t="s">
        <v>1913</v>
      </c>
      <c r="M2344" s="77">
        <v>31235000</v>
      </c>
      <c r="N2344" s="49" t="s">
        <v>1926</v>
      </c>
      <c r="O2344" s="412"/>
      <c r="P2344" s="401"/>
      <c r="Q2344" s="17"/>
      <c r="R2344" s="17"/>
      <c r="S2344" s="17"/>
      <c r="T2344" s="17"/>
      <c r="U2344" s="17"/>
      <c r="V2344" s="17"/>
      <c r="W2344" s="17"/>
      <c r="X2344" s="17"/>
      <c r="Y2344" s="98"/>
      <c r="Z2344" s="98">
        <v>100</v>
      </c>
      <c r="AA2344" s="22">
        <f t="shared" si="777"/>
        <v>31235000</v>
      </c>
      <c r="AB2344" s="98">
        <f t="shared" si="778"/>
        <v>100</v>
      </c>
      <c r="AC2344" s="20">
        <f t="shared" si="779"/>
        <v>31235000</v>
      </c>
      <c r="AD2344" s="98">
        <f t="shared" si="770"/>
        <v>94.651515151515156</v>
      </c>
    </row>
    <row r="2345" spans="2:30" ht="51">
      <c r="B2345" s="13"/>
      <c r="C2345" s="74"/>
      <c r="D2345" s="21" t="s">
        <v>1911</v>
      </c>
      <c r="E2345" s="204"/>
      <c r="F2345" s="204"/>
      <c r="G2345" s="193"/>
      <c r="H2345" s="89"/>
      <c r="I2345" s="89"/>
      <c r="J2345" s="15">
        <v>41250000</v>
      </c>
      <c r="K2345" s="15">
        <v>41250000</v>
      </c>
      <c r="L2345" s="57" t="s">
        <v>1913</v>
      </c>
      <c r="M2345" s="77">
        <v>39000000</v>
      </c>
      <c r="N2345" s="49" t="s">
        <v>1927</v>
      </c>
      <c r="O2345" s="412"/>
      <c r="P2345" s="401"/>
      <c r="Q2345" s="17"/>
      <c r="R2345" s="17"/>
      <c r="S2345" s="17"/>
      <c r="T2345" s="17"/>
      <c r="U2345" s="17"/>
      <c r="V2345" s="17"/>
      <c r="W2345" s="17"/>
      <c r="X2345" s="17"/>
      <c r="Y2345" s="98"/>
      <c r="Z2345" s="98">
        <v>100</v>
      </c>
      <c r="AA2345" s="22">
        <f t="shared" si="777"/>
        <v>39000000</v>
      </c>
      <c r="AB2345" s="98">
        <f t="shared" si="778"/>
        <v>100</v>
      </c>
      <c r="AC2345" s="20">
        <f t="shared" si="779"/>
        <v>39000000</v>
      </c>
      <c r="AD2345" s="98">
        <f t="shared" si="770"/>
        <v>94.545454545454547</v>
      </c>
    </row>
    <row r="2346" spans="2:30" ht="38.25">
      <c r="B2346" s="13"/>
      <c r="C2346" s="74"/>
      <c r="D2346" s="21" t="s">
        <v>1912</v>
      </c>
      <c r="E2346" s="204"/>
      <c r="F2346" s="204"/>
      <c r="G2346" s="193"/>
      <c r="H2346" s="89"/>
      <c r="I2346" s="89"/>
      <c r="J2346" s="15">
        <v>55000000</v>
      </c>
      <c r="K2346" s="15">
        <v>55000000</v>
      </c>
      <c r="L2346" s="57" t="s">
        <v>1913</v>
      </c>
      <c r="M2346" s="77">
        <v>54203000</v>
      </c>
      <c r="N2346" s="49" t="s">
        <v>1928</v>
      </c>
      <c r="O2346" s="412"/>
      <c r="P2346" s="401"/>
      <c r="Q2346" s="17"/>
      <c r="R2346" s="17"/>
      <c r="S2346" s="17"/>
      <c r="T2346" s="17"/>
      <c r="U2346" s="17"/>
      <c r="V2346" s="17"/>
      <c r="W2346" s="17"/>
      <c r="X2346" s="17"/>
      <c r="Y2346" s="98"/>
      <c r="Z2346" s="98">
        <v>100</v>
      </c>
      <c r="AA2346" s="22">
        <f t="shared" si="777"/>
        <v>54203000</v>
      </c>
      <c r="AB2346" s="98">
        <f t="shared" si="778"/>
        <v>100</v>
      </c>
      <c r="AC2346" s="20">
        <f t="shared" si="779"/>
        <v>54203000</v>
      </c>
      <c r="AD2346" s="98">
        <f t="shared" si="770"/>
        <v>98.550909090909087</v>
      </c>
    </row>
    <row r="2347" spans="2:30" ht="25.5">
      <c r="B2347" s="13"/>
      <c r="C2347" s="74"/>
      <c r="D2347" s="21" t="s">
        <v>1929</v>
      </c>
      <c r="E2347" s="204"/>
      <c r="F2347" s="204"/>
      <c r="G2347" s="193"/>
      <c r="H2347" s="89"/>
      <c r="I2347" s="89"/>
      <c r="J2347" s="15">
        <v>55000000</v>
      </c>
      <c r="K2347" s="15">
        <v>55000000</v>
      </c>
      <c r="L2347" s="57" t="s">
        <v>1913</v>
      </c>
      <c r="M2347" s="77">
        <v>54180000</v>
      </c>
      <c r="N2347" s="49" t="s">
        <v>1942</v>
      </c>
      <c r="O2347" s="412"/>
      <c r="P2347" s="401"/>
      <c r="Q2347" s="17"/>
      <c r="R2347" s="17"/>
      <c r="S2347" s="17"/>
      <c r="T2347" s="17"/>
      <c r="U2347" s="17"/>
      <c r="V2347" s="17"/>
      <c r="W2347" s="17"/>
      <c r="X2347" s="17"/>
      <c r="Y2347" s="98"/>
      <c r="Z2347" s="98">
        <v>100</v>
      </c>
      <c r="AA2347" s="22">
        <f t="shared" si="777"/>
        <v>54180000</v>
      </c>
      <c r="AB2347" s="98">
        <f t="shared" si="778"/>
        <v>100</v>
      </c>
      <c r="AC2347" s="20">
        <f t="shared" si="779"/>
        <v>54180000</v>
      </c>
      <c r="AD2347" s="98">
        <f t="shared" si="770"/>
        <v>98.509090909090915</v>
      </c>
    </row>
    <row r="2348" spans="2:30" ht="38.25">
      <c r="B2348" s="13"/>
      <c r="C2348" s="74"/>
      <c r="D2348" s="21" t="s">
        <v>1930</v>
      </c>
      <c r="E2348" s="204"/>
      <c r="F2348" s="204"/>
      <c r="G2348" s="193"/>
      <c r="H2348" s="89"/>
      <c r="I2348" s="89"/>
      <c r="J2348" s="15">
        <v>77000000</v>
      </c>
      <c r="K2348" s="15">
        <v>77000000</v>
      </c>
      <c r="L2348" s="57" t="s">
        <v>1913</v>
      </c>
      <c r="M2348" s="77">
        <v>69210000</v>
      </c>
      <c r="N2348" s="49" t="s">
        <v>1943</v>
      </c>
      <c r="O2348" s="412"/>
      <c r="P2348" s="401"/>
      <c r="Q2348" s="17"/>
      <c r="R2348" s="17"/>
      <c r="S2348" s="17"/>
      <c r="T2348" s="17"/>
      <c r="U2348" s="17"/>
      <c r="V2348" s="17"/>
      <c r="W2348" s="17"/>
      <c r="X2348" s="17"/>
      <c r="Y2348" s="98"/>
      <c r="Z2348" s="98">
        <v>100</v>
      </c>
      <c r="AA2348" s="22">
        <f t="shared" si="777"/>
        <v>69210000</v>
      </c>
      <c r="AB2348" s="98">
        <f t="shared" si="778"/>
        <v>100</v>
      </c>
      <c r="AC2348" s="20">
        <f t="shared" si="779"/>
        <v>69210000</v>
      </c>
      <c r="AD2348" s="98">
        <f t="shared" si="770"/>
        <v>89.883116883116884</v>
      </c>
    </row>
    <row r="2349" spans="2:30" ht="38.25">
      <c r="B2349" s="13"/>
      <c r="C2349" s="74"/>
      <c r="D2349" s="21" t="s">
        <v>1931</v>
      </c>
      <c r="E2349" s="204"/>
      <c r="F2349" s="204"/>
      <c r="G2349" s="193"/>
      <c r="H2349" s="89"/>
      <c r="I2349" s="89"/>
      <c r="J2349" s="15">
        <v>38500000</v>
      </c>
      <c r="K2349" s="15">
        <v>38500000</v>
      </c>
      <c r="L2349" s="57" t="s">
        <v>1913</v>
      </c>
      <c r="M2349" s="77">
        <v>36500000</v>
      </c>
      <c r="N2349" s="49" t="s">
        <v>1944</v>
      </c>
      <c r="O2349" s="412"/>
      <c r="P2349" s="401"/>
      <c r="Q2349" s="17"/>
      <c r="R2349" s="17"/>
      <c r="S2349" s="17"/>
      <c r="T2349" s="17"/>
      <c r="U2349" s="17"/>
      <c r="V2349" s="17"/>
      <c r="W2349" s="17"/>
      <c r="X2349" s="17"/>
      <c r="Y2349" s="98"/>
      <c r="Z2349" s="98">
        <v>100</v>
      </c>
      <c r="AA2349" s="22">
        <f t="shared" si="777"/>
        <v>36500000</v>
      </c>
      <c r="AB2349" s="98">
        <f t="shared" si="778"/>
        <v>100</v>
      </c>
      <c r="AC2349" s="20">
        <f t="shared" si="779"/>
        <v>36500000</v>
      </c>
      <c r="AD2349" s="98">
        <f t="shared" si="770"/>
        <v>94.805194805194802</v>
      </c>
    </row>
    <row r="2350" spans="2:30" ht="25.5">
      <c r="B2350" s="13"/>
      <c r="C2350" s="74"/>
      <c r="D2350" s="21" t="s">
        <v>1932</v>
      </c>
      <c r="E2350" s="204"/>
      <c r="F2350" s="204"/>
      <c r="G2350" s="193"/>
      <c r="H2350" s="89"/>
      <c r="I2350" s="89"/>
      <c r="J2350" s="15">
        <v>82500000</v>
      </c>
      <c r="K2350" s="15">
        <v>82500000</v>
      </c>
      <c r="L2350" s="57" t="s">
        <v>1913</v>
      </c>
      <c r="M2350" s="77">
        <v>80400000</v>
      </c>
      <c r="N2350" s="49" t="s">
        <v>1945</v>
      </c>
      <c r="O2350" s="412"/>
      <c r="P2350" s="401"/>
      <c r="Q2350" s="17"/>
      <c r="R2350" s="17"/>
      <c r="S2350" s="17"/>
      <c r="T2350" s="17"/>
      <c r="U2350" s="17"/>
      <c r="V2350" s="17"/>
      <c r="W2350" s="17"/>
      <c r="X2350" s="17"/>
      <c r="Y2350" s="98"/>
      <c r="Z2350" s="98">
        <v>100</v>
      </c>
      <c r="AA2350" s="22">
        <f t="shared" si="777"/>
        <v>80400000</v>
      </c>
      <c r="AB2350" s="98">
        <f t="shared" si="778"/>
        <v>100</v>
      </c>
      <c r="AC2350" s="20">
        <f t="shared" si="779"/>
        <v>80400000</v>
      </c>
      <c r="AD2350" s="98">
        <f t="shared" si="770"/>
        <v>97.454545454545453</v>
      </c>
    </row>
    <row r="2351" spans="2:30" ht="51">
      <c r="B2351" s="13"/>
      <c r="C2351" s="74"/>
      <c r="D2351" s="21" t="s">
        <v>1933</v>
      </c>
      <c r="E2351" s="204"/>
      <c r="F2351" s="204"/>
      <c r="G2351" s="193"/>
      <c r="H2351" s="89"/>
      <c r="I2351" s="89"/>
      <c r="J2351" s="15">
        <v>44000000</v>
      </c>
      <c r="K2351" s="15">
        <v>44000000</v>
      </c>
      <c r="L2351" s="57" t="s">
        <v>1913</v>
      </c>
      <c r="M2351" s="77">
        <v>43857000</v>
      </c>
      <c r="N2351" s="49" t="s">
        <v>1921</v>
      </c>
      <c r="O2351" s="412"/>
      <c r="P2351" s="401"/>
      <c r="Q2351" s="17"/>
      <c r="R2351" s="17"/>
      <c r="S2351" s="17"/>
      <c r="T2351" s="17"/>
      <c r="U2351" s="17"/>
      <c r="V2351" s="17"/>
      <c r="W2351" s="17"/>
      <c r="X2351" s="17"/>
      <c r="Y2351" s="98"/>
      <c r="Z2351" s="98">
        <v>100</v>
      </c>
      <c r="AA2351" s="22">
        <f t="shared" si="777"/>
        <v>43857000</v>
      </c>
      <c r="AB2351" s="98">
        <f t="shared" si="778"/>
        <v>100</v>
      </c>
      <c r="AC2351" s="20">
        <f t="shared" si="779"/>
        <v>43857000</v>
      </c>
      <c r="AD2351" s="98">
        <f t="shared" si="770"/>
        <v>99.674999999999997</v>
      </c>
    </row>
    <row r="2352" spans="2:30" ht="51">
      <c r="B2352" s="13"/>
      <c r="C2352" s="74"/>
      <c r="D2352" s="21" t="s">
        <v>1934</v>
      </c>
      <c r="E2352" s="204"/>
      <c r="F2352" s="204"/>
      <c r="G2352" s="193"/>
      <c r="H2352" s="89"/>
      <c r="I2352" s="89"/>
      <c r="J2352" s="15">
        <v>77000000</v>
      </c>
      <c r="K2352" s="15">
        <v>77000000</v>
      </c>
      <c r="L2352" s="57" t="s">
        <v>1913</v>
      </c>
      <c r="M2352" s="77">
        <v>76900000</v>
      </c>
      <c r="N2352" s="49" t="s">
        <v>1919</v>
      </c>
      <c r="O2352" s="412"/>
      <c r="P2352" s="401"/>
      <c r="Q2352" s="17"/>
      <c r="R2352" s="17"/>
      <c r="S2352" s="17"/>
      <c r="T2352" s="17"/>
      <c r="U2352" s="17"/>
      <c r="V2352" s="17"/>
      <c r="W2352" s="17"/>
      <c r="X2352" s="17"/>
      <c r="Y2352" s="20">
        <v>100</v>
      </c>
      <c r="Z2352" s="98">
        <v>100</v>
      </c>
      <c r="AA2352" s="22">
        <f t="shared" si="777"/>
        <v>76900000</v>
      </c>
      <c r="AB2352" s="98">
        <f t="shared" si="778"/>
        <v>100</v>
      </c>
      <c r="AC2352" s="20">
        <f t="shared" si="779"/>
        <v>76900000</v>
      </c>
      <c r="AD2352" s="98">
        <f t="shared" si="770"/>
        <v>99.870129870129873</v>
      </c>
    </row>
    <row r="2353" spans="2:30">
      <c r="B2353" s="13"/>
      <c r="C2353" s="74"/>
      <c r="D2353" s="21" t="s">
        <v>1935</v>
      </c>
      <c r="E2353" s="204"/>
      <c r="F2353" s="204"/>
      <c r="G2353" s="193"/>
      <c r="H2353" s="89"/>
      <c r="I2353" s="89"/>
      <c r="J2353" s="15">
        <v>46574000</v>
      </c>
      <c r="K2353" s="15">
        <v>46574000</v>
      </c>
      <c r="L2353" s="57" t="s">
        <v>1913</v>
      </c>
      <c r="M2353" s="77">
        <v>43428000</v>
      </c>
      <c r="N2353" s="18"/>
      <c r="O2353" s="412"/>
      <c r="P2353" s="401"/>
      <c r="Q2353" s="17"/>
      <c r="R2353" s="17"/>
      <c r="S2353" s="17"/>
      <c r="T2353" s="17"/>
      <c r="U2353" s="17"/>
      <c r="V2353" s="17"/>
      <c r="W2353" s="17"/>
      <c r="X2353" s="17"/>
      <c r="Y2353" s="98"/>
      <c r="Z2353" s="98">
        <v>100</v>
      </c>
      <c r="AA2353" s="22">
        <f t="shared" si="777"/>
        <v>43428000</v>
      </c>
      <c r="AB2353" s="98">
        <f t="shared" si="778"/>
        <v>100</v>
      </c>
      <c r="AC2353" s="20">
        <f t="shared" si="779"/>
        <v>43428000</v>
      </c>
      <c r="AD2353" s="98">
        <f t="shared" si="770"/>
        <v>93.245158242796407</v>
      </c>
    </row>
    <row r="2354" spans="2:30" ht="51">
      <c r="B2354" s="13"/>
      <c r="C2354" s="74"/>
      <c r="D2354" s="21" t="s">
        <v>1936</v>
      </c>
      <c r="E2354" s="204"/>
      <c r="F2354" s="204"/>
      <c r="G2354" s="193"/>
      <c r="H2354" s="89"/>
      <c r="I2354" s="89"/>
      <c r="J2354" s="15">
        <v>99300000</v>
      </c>
      <c r="K2354" s="15">
        <v>99300000</v>
      </c>
      <c r="L2354" s="57" t="s">
        <v>1913</v>
      </c>
      <c r="M2354" s="77">
        <v>98615000</v>
      </c>
      <c r="N2354" s="49" t="s">
        <v>1946</v>
      </c>
      <c r="O2354" s="412"/>
      <c r="P2354" s="401"/>
      <c r="Q2354" s="17"/>
      <c r="R2354" s="17"/>
      <c r="S2354" s="17"/>
      <c r="T2354" s="17"/>
      <c r="U2354" s="17"/>
      <c r="V2354" s="17"/>
      <c r="W2354" s="17"/>
      <c r="X2354" s="17"/>
      <c r="Y2354" s="98"/>
      <c r="Z2354" s="98">
        <v>100</v>
      </c>
      <c r="AA2354" s="22">
        <f t="shared" si="777"/>
        <v>98615000</v>
      </c>
      <c r="AB2354" s="98">
        <f t="shared" si="778"/>
        <v>100</v>
      </c>
      <c r="AC2354" s="20">
        <f t="shared" si="779"/>
        <v>98615000</v>
      </c>
      <c r="AD2354" s="98">
        <f t="shared" si="770"/>
        <v>99.310171198388716</v>
      </c>
    </row>
    <row r="2355" spans="2:30" ht="38.25">
      <c r="B2355" s="13"/>
      <c r="C2355" s="74"/>
      <c r="D2355" s="21" t="s">
        <v>1937</v>
      </c>
      <c r="E2355" s="204"/>
      <c r="F2355" s="204"/>
      <c r="G2355" s="193"/>
      <c r="H2355" s="89"/>
      <c r="I2355" s="89"/>
      <c r="J2355" s="15">
        <v>44000000</v>
      </c>
      <c r="K2355" s="15">
        <v>44000000</v>
      </c>
      <c r="L2355" s="57" t="s">
        <v>1913</v>
      </c>
      <c r="M2355" s="77">
        <v>43648000</v>
      </c>
      <c r="N2355" s="49" t="s">
        <v>1926</v>
      </c>
      <c r="O2355" s="412"/>
      <c r="P2355" s="401"/>
      <c r="Q2355" s="17"/>
      <c r="R2355" s="17"/>
      <c r="S2355" s="17"/>
      <c r="T2355" s="17"/>
      <c r="U2355" s="17"/>
      <c r="V2355" s="17"/>
      <c r="W2355" s="17"/>
      <c r="X2355" s="17"/>
      <c r="Y2355" s="20">
        <v>100</v>
      </c>
      <c r="Z2355" s="98">
        <v>100</v>
      </c>
      <c r="AA2355" s="22">
        <f t="shared" si="777"/>
        <v>43648000</v>
      </c>
      <c r="AB2355" s="98">
        <f t="shared" si="778"/>
        <v>100</v>
      </c>
      <c r="AC2355" s="20">
        <f t="shared" si="779"/>
        <v>43648000</v>
      </c>
      <c r="AD2355" s="98">
        <f t="shared" si="770"/>
        <v>99.2</v>
      </c>
    </row>
    <row r="2356" spans="2:30" ht="51">
      <c r="B2356" s="13"/>
      <c r="C2356" s="74"/>
      <c r="D2356" s="21" t="s">
        <v>1938</v>
      </c>
      <c r="E2356" s="204"/>
      <c r="F2356" s="204"/>
      <c r="G2356" s="193"/>
      <c r="H2356" s="89"/>
      <c r="I2356" s="89"/>
      <c r="J2356" s="15">
        <v>32175000</v>
      </c>
      <c r="K2356" s="15">
        <v>32175000</v>
      </c>
      <c r="L2356" s="57" t="s">
        <v>1913</v>
      </c>
      <c r="M2356" s="77">
        <v>29830000</v>
      </c>
      <c r="N2356" s="49" t="s">
        <v>1947</v>
      </c>
      <c r="O2356" s="412"/>
      <c r="P2356" s="401"/>
      <c r="Q2356" s="17"/>
      <c r="R2356" s="17"/>
      <c r="S2356" s="17"/>
      <c r="T2356" s="17"/>
      <c r="U2356" s="17"/>
      <c r="V2356" s="17"/>
      <c r="W2356" s="17"/>
      <c r="X2356" s="17"/>
      <c r="Y2356" s="98"/>
      <c r="Z2356" s="98">
        <v>100</v>
      </c>
      <c r="AA2356" s="22">
        <f t="shared" si="777"/>
        <v>29830000</v>
      </c>
      <c r="AB2356" s="98">
        <f t="shared" si="778"/>
        <v>100</v>
      </c>
      <c r="AC2356" s="20">
        <f t="shared" si="779"/>
        <v>29830000</v>
      </c>
      <c r="AD2356" s="98">
        <f t="shared" si="770"/>
        <v>92.711732711732708</v>
      </c>
    </row>
    <row r="2357" spans="2:30">
      <c r="B2357" s="13"/>
      <c r="C2357" s="74"/>
      <c r="D2357" s="21" t="s">
        <v>1939</v>
      </c>
      <c r="E2357" s="204"/>
      <c r="F2357" s="204"/>
      <c r="G2357" s="193"/>
      <c r="H2357" s="89"/>
      <c r="I2357" s="89"/>
      <c r="J2357" s="15">
        <v>6600000</v>
      </c>
      <c r="K2357" s="15">
        <v>6600000</v>
      </c>
      <c r="L2357" s="57" t="s">
        <v>1941</v>
      </c>
      <c r="M2357" s="77">
        <v>6600000</v>
      </c>
      <c r="N2357" s="18" t="s">
        <v>1948</v>
      </c>
      <c r="O2357" s="412"/>
      <c r="P2357" s="401"/>
      <c r="Q2357" s="17"/>
      <c r="R2357" s="17"/>
      <c r="S2357" s="17"/>
      <c r="T2357" s="17"/>
      <c r="U2357" s="17"/>
      <c r="V2357" s="17"/>
      <c r="W2357" s="17"/>
      <c r="X2357" s="17"/>
      <c r="Y2357" s="20">
        <v>100</v>
      </c>
      <c r="Z2357" s="98">
        <v>100</v>
      </c>
      <c r="AA2357" s="22">
        <f t="shared" si="777"/>
        <v>6600000</v>
      </c>
      <c r="AB2357" s="98">
        <f t="shared" si="778"/>
        <v>100</v>
      </c>
      <c r="AC2357" s="20">
        <f t="shared" si="779"/>
        <v>6600000</v>
      </c>
      <c r="AD2357" s="20">
        <f t="shared" si="770"/>
        <v>100</v>
      </c>
    </row>
    <row r="2358" spans="2:30">
      <c r="B2358" s="13"/>
      <c r="C2358" s="74"/>
      <c r="D2358" s="21" t="s">
        <v>1940</v>
      </c>
      <c r="E2358" s="204"/>
      <c r="F2358" s="204"/>
      <c r="G2358" s="193"/>
      <c r="H2358" s="89"/>
      <c r="I2358" s="89"/>
      <c r="J2358" s="15">
        <v>1100000</v>
      </c>
      <c r="K2358" s="15">
        <v>1100000</v>
      </c>
      <c r="L2358" s="57" t="s">
        <v>1941</v>
      </c>
      <c r="M2358" s="77">
        <v>1100000</v>
      </c>
      <c r="N2358" s="18" t="s">
        <v>1948</v>
      </c>
      <c r="O2358" s="412"/>
      <c r="P2358" s="401"/>
      <c r="Q2358" s="17"/>
      <c r="R2358" s="17"/>
      <c r="S2358" s="17"/>
      <c r="T2358" s="17"/>
      <c r="U2358" s="17"/>
      <c r="V2358" s="17"/>
      <c r="W2358" s="17"/>
      <c r="X2358" s="17"/>
      <c r="Y2358" s="20">
        <v>100</v>
      </c>
      <c r="Z2358" s="98">
        <v>100</v>
      </c>
      <c r="AA2358" s="22">
        <f t="shared" si="777"/>
        <v>1100000</v>
      </c>
      <c r="AB2358" s="98">
        <f t="shared" si="778"/>
        <v>100</v>
      </c>
      <c r="AC2358" s="20">
        <f t="shared" si="779"/>
        <v>1100000</v>
      </c>
      <c r="AD2358" s="20">
        <f t="shared" si="770"/>
        <v>100</v>
      </c>
    </row>
    <row r="2359" spans="2:30" ht="25.5">
      <c r="B2359" s="13">
        <f>B2331+1</f>
        <v>25</v>
      </c>
      <c r="C2359" s="74" t="s">
        <v>664</v>
      </c>
      <c r="D2359" s="21" t="s">
        <v>1346</v>
      </c>
      <c r="E2359" s="204"/>
      <c r="F2359" s="204"/>
      <c r="G2359" s="193"/>
      <c r="H2359" s="89"/>
      <c r="I2359" s="89"/>
      <c r="J2359" s="15">
        <v>63531000</v>
      </c>
      <c r="K2359" s="99">
        <v>63170000</v>
      </c>
      <c r="L2359" s="57"/>
      <c r="M2359" s="77"/>
      <c r="N2359" s="18"/>
      <c r="O2359" s="412"/>
      <c r="P2359" s="401"/>
      <c r="Q2359" s="17"/>
      <c r="R2359" s="17"/>
      <c r="S2359" s="17"/>
      <c r="T2359" s="17"/>
      <c r="U2359" s="17"/>
      <c r="V2359" s="17"/>
      <c r="W2359" s="17"/>
      <c r="X2359" s="17"/>
      <c r="Y2359" s="20">
        <v>100</v>
      </c>
      <c r="Z2359" s="98">
        <v>100</v>
      </c>
      <c r="AA2359" s="22">
        <v>53266000</v>
      </c>
      <c r="AB2359" s="98">
        <f t="shared" si="769"/>
        <v>84.321671679594743</v>
      </c>
      <c r="AC2359" s="20">
        <f t="shared" si="776"/>
        <v>53266000</v>
      </c>
      <c r="AD2359" s="98">
        <f t="shared" si="770"/>
        <v>84.321671679594743</v>
      </c>
    </row>
    <row r="2360" spans="2:30" ht="38.25">
      <c r="B2360" s="13"/>
      <c r="C2360" s="74"/>
      <c r="D2360" s="21" t="s">
        <v>2076</v>
      </c>
      <c r="E2360" s="204"/>
      <c r="F2360" s="204"/>
      <c r="G2360" s="193"/>
      <c r="H2360" s="89"/>
      <c r="I2360" s="89"/>
      <c r="J2360" s="15">
        <v>8000000</v>
      </c>
      <c r="K2360" s="25"/>
      <c r="L2360" s="57"/>
      <c r="M2360" s="15">
        <v>8000000</v>
      </c>
      <c r="N2360" s="49" t="s">
        <v>2080</v>
      </c>
      <c r="O2360" s="412"/>
      <c r="P2360" s="401"/>
      <c r="Q2360" s="17"/>
      <c r="R2360" s="17"/>
      <c r="S2360" s="17"/>
      <c r="T2360" s="17"/>
      <c r="U2360" s="17"/>
      <c r="V2360" s="17"/>
      <c r="W2360" s="17"/>
      <c r="X2360" s="17"/>
      <c r="Y2360" s="98"/>
      <c r="Z2360" s="98"/>
      <c r="AA2360" s="22"/>
      <c r="AB2360" s="98"/>
      <c r="AC2360" s="20"/>
      <c r="AD2360" s="98"/>
    </row>
    <row r="2361" spans="2:30">
      <c r="B2361" s="13"/>
      <c r="C2361" s="74"/>
      <c r="D2361" s="21" t="s">
        <v>2077</v>
      </c>
      <c r="E2361" s="204"/>
      <c r="F2361" s="204"/>
      <c r="G2361" s="193"/>
      <c r="H2361" s="89"/>
      <c r="I2361" s="89"/>
      <c r="J2361" s="15">
        <v>13200000</v>
      </c>
      <c r="K2361" s="25"/>
      <c r="L2361" s="57"/>
      <c r="M2361" s="15">
        <v>13200000</v>
      </c>
      <c r="N2361" s="18"/>
      <c r="O2361" s="412"/>
      <c r="P2361" s="401"/>
      <c r="Q2361" s="17"/>
      <c r="R2361" s="17"/>
      <c r="S2361" s="17"/>
      <c r="T2361" s="17"/>
      <c r="U2361" s="17"/>
      <c r="V2361" s="17"/>
      <c r="W2361" s="17"/>
      <c r="X2361" s="17"/>
      <c r="Y2361" s="98"/>
      <c r="Z2361" s="98"/>
      <c r="AA2361" s="22"/>
      <c r="AB2361" s="98"/>
      <c r="AC2361" s="20"/>
      <c r="AD2361" s="98"/>
    </row>
    <row r="2362" spans="2:30">
      <c r="B2362" s="13"/>
      <c r="C2362" s="74"/>
      <c r="D2362" s="21" t="s">
        <v>2078</v>
      </c>
      <c r="E2362" s="204"/>
      <c r="F2362" s="204"/>
      <c r="G2362" s="193"/>
      <c r="H2362" s="89"/>
      <c r="I2362" s="89"/>
      <c r="J2362" s="15">
        <v>13200000</v>
      </c>
      <c r="K2362" s="25"/>
      <c r="L2362" s="57"/>
      <c r="M2362" s="15">
        <v>13200000</v>
      </c>
      <c r="N2362" s="18"/>
      <c r="O2362" s="412"/>
      <c r="P2362" s="401"/>
      <c r="Q2362" s="17"/>
      <c r="R2362" s="17"/>
      <c r="S2362" s="17"/>
      <c r="T2362" s="17"/>
      <c r="U2362" s="17"/>
      <c r="V2362" s="17"/>
      <c r="W2362" s="17"/>
      <c r="X2362" s="17"/>
      <c r="Y2362" s="98"/>
      <c r="Z2362" s="98"/>
      <c r="AA2362" s="22"/>
      <c r="AB2362" s="98"/>
      <c r="AC2362" s="20"/>
      <c r="AD2362" s="98"/>
    </row>
    <row r="2363" spans="2:30" ht="39" customHeight="1">
      <c r="B2363" s="13"/>
      <c r="C2363" s="74"/>
      <c r="D2363" s="21" t="s">
        <v>2079</v>
      </c>
      <c r="E2363" s="204"/>
      <c r="F2363" s="204"/>
      <c r="G2363" s="193"/>
      <c r="H2363" s="89"/>
      <c r="I2363" s="89"/>
      <c r="J2363" s="15">
        <v>25000</v>
      </c>
      <c r="K2363" s="25"/>
      <c r="L2363" s="57"/>
      <c r="M2363" s="15">
        <v>25000</v>
      </c>
      <c r="N2363" s="49" t="s">
        <v>2080</v>
      </c>
      <c r="O2363" s="412"/>
      <c r="P2363" s="401"/>
      <c r="Q2363" s="17"/>
      <c r="R2363" s="17"/>
      <c r="S2363" s="17"/>
      <c r="T2363" s="17"/>
      <c r="U2363" s="17"/>
      <c r="V2363" s="17"/>
      <c r="W2363" s="17"/>
      <c r="X2363" s="17"/>
      <c r="Y2363" s="98"/>
      <c r="Z2363" s="98"/>
      <c r="AA2363" s="22"/>
      <c r="AB2363" s="98"/>
      <c r="AC2363" s="20"/>
      <c r="AD2363" s="98"/>
    </row>
    <row r="2364" spans="2:30" ht="25.5">
      <c r="B2364" s="13">
        <f>B2359+1</f>
        <v>26</v>
      </c>
      <c r="C2364" s="81">
        <v>15.007</v>
      </c>
      <c r="D2364" s="21" t="s">
        <v>1347</v>
      </c>
      <c r="E2364" s="204"/>
      <c r="F2364" s="204"/>
      <c r="G2364" s="193"/>
      <c r="H2364" s="89"/>
      <c r="I2364" s="89"/>
      <c r="J2364" s="15">
        <v>50050000</v>
      </c>
      <c r="K2364" s="99">
        <v>75050000</v>
      </c>
      <c r="L2364" s="57"/>
      <c r="M2364" s="77"/>
      <c r="N2364" s="18"/>
      <c r="O2364" s="412" t="s">
        <v>1</v>
      </c>
      <c r="P2364" s="401"/>
      <c r="Q2364" s="18"/>
      <c r="R2364" s="18"/>
      <c r="S2364" s="18"/>
      <c r="T2364" s="18"/>
      <c r="U2364" s="18"/>
      <c r="V2364" s="18"/>
      <c r="W2364" s="18"/>
      <c r="X2364" s="18"/>
      <c r="Y2364" s="20">
        <v>100</v>
      </c>
      <c r="Z2364" s="98">
        <v>100</v>
      </c>
      <c r="AA2364" s="22">
        <v>72910000</v>
      </c>
      <c r="AB2364" s="98">
        <f t="shared" ref="AB2364:AB2399" si="780">AA2364/K2364*100</f>
        <v>97.148567621585613</v>
      </c>
      <c r="AC2364" s="20">
        <f>AA2364</f>
        <v>72910000</v>
      </c>
      <c r="AD2364" s="98">
        <f t="shared" ref="AD2364:AD2399" si="781">AC2364/K2364*100</f>
        <v>97.148567621585613</v>
      </c>
    </row>
    <row r="2365" spans="2:30">
      <c r="B2365" s="13">
        <f>B2364+1</f>
        <v>27</v>
      </c>
      <c r="C2365" s="81">
        <v>15.013</v>
      </c>
      <c r="D2365" s="163" t="s">
        <v>2358</v>
      </c>
      <c r="E2365" s="204"/>
      <c r="F2365" s="204"/>
      <c r="G2365" s="193"/>
      <c r="H2365" s="89"/>
      <c r="I2365" s="89"/>
      <c r="J2365" s="15"/>
      <c r="K2365" s="99">
        <v>10000000</v>
      </c>
      <c r="L2365" s="57"/>
      <c r="M2365" s="77"/>
      <c r="N2365" s="18"/>
      <c r="O2365" s="412"/>
      <c r="P2365" s="401"/>
      <c r="Q2365" s="18"/>
      <c r="R2365" s="18"/>
      <c r="S2365" s="18"/>
      <c r="T2365" s="18"/>
      <c r="U2365" s="18"/>
      <c r="V2365" s="18"/>
      <c r="W2365" s="18"/>
      <c r="X2365" s="18"/>
      <c r="Y2365" s="20">
        <v>100</v>
      </c>
      <c r="Z2365" s="98">
        <v>100</v>
      </c>
      <c r="AA2365" s="22">
        <v>9988500</v>
      </c>
      <c r="AB2365" s="98"/>
      <c r="AC2365" s="20"/>
      <c r="AD2365" s="98"/>
    </row>
    <row r="2366" spans="2:30" ht="27">
      <c r="B2366" s="13"/>
      <c r="C2366" s="86" t="s">
        <v>1348</v>
      </c>
      <c r="D2366" s="86" t="s">
        <v>1349</v>
      </c>
      <c r="E2366" s="204"/>
      <c r="F2366" s="204"/>
      <c r="G2366" s="193"/>
      <c r="H2366" s="89"/>
      <c r="I2366" s="89"/>
      <c r="J2366" s="88"/>
      <c r="K2366" s="88"/>
      <c r="L2366" s="13"/>
      <c r="M2366" s="17"/>
      <c r="N2366" s="17"/>
      <c r="O2366" s="17"/>
      <c r="P2366" s="17"/>
      <c r="Q2366" s="17"/>
      <c r="R2366" s="17"/>
      <c r="S2366" s="17"/>
      <c r="T2366" s="17"/>
      <c r="U2366" s="17"/>
      <c r="V2366" s="17"/>
      <c r="W2366" s="17"/>
      <c r="X2366" s="17"/>
      <c r="Y2366" s="20"/>
      <c r="Z2366" s="98"/>
      <c r="AA2366" s="22"/>
      <c r="AB2366" s="98"/>
      <c r="AC2366" s="20"/>
      <c r="AD2366" s="98"/>
    </row>
    <row r="2367" spans="2:30">
      <c r="B2367" s="13">
        <f>B2365+1</f>
        <v>28</v>
      </c>
      <c r="C2367" s="74" t="s">
        <v>614</v>
      </c>
      <c r="D2367" s="21" t="s">
        <v>1350</v>
      </c>
      <c r="E2367" s="204"/>
      <c r="F2367" s="204"/>
      <c r="G2367" s="193"/>
      <c r="H2367" s="89"/>
      <c r="I2367" s="89"/>
      <c r="J2367" s="15">
        <v>34000000</v>
      </c>
      <c r="K2367" s="99">
        <v>34000000</v>
      </c>
      <c r="L2367" s="13"/>
      <c r="M2367" s="17"/>
      <c r="N2367" s="17"/>
      <c r="O2367" s="17"/>
      <c r="P2367" s="17"/>
      <c r="Q2367" s="17"/>
      <c r="R2367" s="17"/>
      <c r="S2367" s="17"/>
      <c r="T2367" s="17"/>
      <c r="U2367" s="17"/>
      <c r="V2367" s="17"/>
      <c r="W2367" s="17"/>
      <c r="X2367" s="17"/>
      <c r="Y2367" s="20">
        <v>100</v>
      </c>
      <c r="Z2367" s="98">
        <v>100</v>
      </c>
      <c r="AA2367" s="22">
        <v>33970000</v>
      </c>
      <c r="AB2367" s="98">
        <f t="shared" si="780"/>
        <v>99.911764705882362</v>
      </c>
      <c r="AC2367" s="20">
        <f t="shared" ref="AC2367:AC2399" si="782">AA2367</f>
        <v>33970000</v>
      </c>
      <c r="AD2367" s="98">
        <f t="shared" si="781"/>
        <v>99.911764705882362</v>
      </c>
    </row>
    <row r="2368" spans="2:30">
      <c r="B2368" s="13">
        <f>B2367+1</f>
        <v>29</v>
      </c>
      <c r="C2368" s="74" t="s">
        <v>381</v>
      </c>
      <c r="D2368" s="21" t="s">
        <v>1351</v>
      </c>
      <c r="E2368" s="204"/>
      <c r="F2368" s="204"/>
      <c r="G2368" s="193"/>
      <c r="H2368" s="89"/>
      <c r="I2368" s="89"/>
      <c r="J2368" s="15">
        <v>6000000</v>
      </c>
      <c r="K2368" s="99">
        <v>0</v>
      </c>
      <c r="L2368" s="13"/>
      <c r="M2368" s="17"/>
      <c r="N2368" s="17"/>
      <c r="O2368" s="17"/>
      <c r="P2368" s="17"/>
      <c r="Q2368" s="17"/>
      <c r="R2368" s="17"/>
      <c r="S2368" s="17"/>
      <c r="T2368" s="17"/>
      <c r="U2368" s="17"/>
      <c r="V2368" s="17"/>
      <c r="W2368" s="17"/>
      <c r="X2368" s="17"/>
      <c r="Y2368" s="20">
        <v>0</v>
      </c>
      <c r="Z2368" s="98">
        <f t="shared" ref="Z2368" si="783">AD2368</f>
        <v>0</v>
      </c>
      <c r="AA2368" s="22"/>
      <c r="AB2368" s="98">
        <v>0</v>
      </c>
      <c r="AC2368" s="20">
        <f t="shared" si="782"/>
        <v>0</v>
      </c>
      <c r="AD2368" s="98">
        <v>0</v>
      </c>
    </row>
    <row r="2369" spans="2:30" ht="25.5">
      <c r="B2369" s="13">
        <f t="shared" ref="B2369:B2370" si="784">B2368+1</f>
        <v>30</v>
      </c>
      <c r="C2369" s="74" t="s">
        <v>617</v>
      </c>
      <c r="D2369" s="75" t="s">
        <v>2359</v>
      </c>
      <c r="E2369" s="204"/>
      <c r="F2369" s="204"/>
      <c r="G2369" s="193"/>
      <c r="H2369" s="89"/>
      <c r="I2369" s="89"/>
      <c r="J2369" s="15"/>
      <c r="K2369" s="99">
        <v>5430000</v>
      </c>
      <c r="L2369" s="13"/>
      <c r="M2369" s="17"/>
      <c r="N2369" s="17"/>
      <c r="O2369" s="17"/>
      <c r="P2369" s="17"/>
      <c r="Q2369" s="17"/>
      <c r="R2369" s="17"/>
      <c r="S2369" s="17"/>
      <c r="T2369" s="17"/>
      <c r="U2369" s="17"/>
      <c r="V2369" s="17"/>
      <c r="W2369" s="17"/>
      <c r="X2369" s="17"/>
      <c r="Y2369" s="20">
        <v>100</v>
      </c>
      <c r="Z2369" s="98">
        <v>99.91</v>
      </c>
      <c r="AA2369" s="22">
        <v>4692500</v>
      </c>
      <c r="AB2369" s="98">
        <f>AA2369/K2369*100</f>
        <v>86.418047882136278</v>
      </c>
      <c r="AC2369" s="20"/>
      <c r="AD2369" s="98"/>
    </row>
    <row r="2370" spans="2:30" ht="17.25" customHeight="1">
      <c r="B2370" s="13">
        <f t="shared" si="784"/>
        <v>31</v>
      </c>
      <c r="C2370" s="174">
        <v>16.007999999999999</v>
      </c>
      <c r="D2370" s="21" t="s">
        <v>1352</v>
      </c>
      <c r="E2370" s="204"/>
      <c r="F2370" s="204"/>
      <c r="G2370" s="193"/>
      <c r="H2370" s="89"/>
      <c r="I2370" s="89"/>
      <c r="J2370" s="15">
        <v>40000000</v>
      </c>
      <c r="K2370" s="99">
        <v>65000000</v>
      </c>
      <c r="L2370" s="13"/>
      <c r="M2370" s="17"/>
      <c r="N2370" s="17"/>
      <c r="O2370" s="17"/>
      <c r="P2370" s="17"/>
      <c r="Q2370" s="17"/>
      <c r="R2370" s="17"/>
      <c r="S2370" s="17"/>
      <c r="T2370" s="17"/>
      <c r="U2370" s="17"/>
      <c r="V2370" s="17"/>
      <c r="W2370" s="17"/>
      <c r="X2370" s="17"/>
      <c r="Y2370" s="20">
        <v>100</v>
      </c>
      <c r="Z2370" s="98">
        <v>100</v>
      </c>
      <c r="AA2370" s="22">
        <v>65000000</v>
      </c>
      <c r="AB2370" s="98">
        <f t="shared" si="780"/>
        <v>100</v>
      </c>
      <c r="AC2370" s="20">
        <f t="shared" si="782"/>
        <v>65000000</v>
      </c>
      <c r="AD2370" s="98">
        <f t="shared" si="781"/>
        <v>100</v>
      </c>
    </row>
    <row r="2371" spans="2:30" ht="25.5">
      <c r="B2371" s="13">
        <f>B2370+1</f>
        <v>32</v>
      </c>
      <c r="C2371" s="129">
        <v>16.009</v>
      </c>
      <c r="D2371" s="21" t="s">
        <v>1353</v>
      </c>
      <c r="E2371" s="204"/>
      <c r="F2371" s="204"/>
      <c r="G2371" s="193"/>
      <c r="H2371" s="89"/>
      <c r="I2371" s="89"/>
      <c r="J2371" s="15">
        <v>1043000000</v>
      </c>
      <c r="K2371" s="99">
        <v>1052500000</v>
      </c>
      <c r="L2371" s="13"/>
      <c r="M2371" s="17"/>
      <c r="N2371" s="17"/>
      <c r="O2371" s="17"/>
      <c r="P2371" s="17"/>
      <c r="Q2371" s="17"/>
      <c r="R2371" s="17"/>
      <c r="S2371" s="17"/>
      <c r="T2371" s="17"/>
      <c r="U2371" s="17"/>
      <c r="V2371" s="17"/>
      <c r="W2371" s="17"/>
      <c r="X2371" s="17"/>
      <c r="Y2371" s="20">
        <v>100</v>
      </c>
      <c r="Z2371" s="98">
        <v>100</v>
      </c>
      <c r="AA2371" s="22">
        <v>1021497000</v>
      </c>
      <c r="AB2371" s="98">
        <f t="shared" si="780"/>
        <v>97.054346793349168</v>
      </c>
      <c r="AC2371" s="20">
        <f t="shared" si="782"/>
        <v>1021497000</v>
      </c>
      <c r="AD2371" s="98">
        <f t="shared" si="781"/>
        <v>97.054346793349168</v>
      </c>
    </row>
    <row r="2372" spans="2:30" ht="45">
      <c r="B2372" s="13"/>
      <c r="C2372" s="174"/>
      <c r="D2372" s="21" t="s">
        <v>1949</v>
      </c>
      <c r="E2372" s="204"/>
      <c r="F2372" s="204"/>
      <c r="G2372" s="193"/>
      <c r="H2372" s="89"/>
      <c r="I2372" s="89"/>
      <c r="J2372" s="15">
        <v>35000000</v>
      </c>
      <c r="K2372" s="25"/>
      <c r="L2372" s="13" t="s">
        <v>1913</v>
      </c>
      <c r="M2372" s="22">
        <v>34800000</v>
      </c>
      <c r="N2372" s="161" t="s">
        <v>1968</v>
      </c>
      <c r="O2372" s="17"/>
      <c r="P2372" s="17"/>
      <c r="Q2372" s="17"/>
      <c r="R2372" s="17"/>
      <c r="S2372" s="17"/>
      <c r="T2372" s="17"/>
      <c r="U2372" s="17"/>
      <c r="V2372" s="17"/>
      <c r="W2372" s="17"/>
      <c r="X2372" s="17"/>
      <c r="Y2372" s="20">
        <v>100</v>
      </c>
      <c r="Z2372" s="98">
        <v>100</v>
      </c>
      <c r="AA2372" s="22">
        <f>M2372</f>
        <v>34800000</v>
      </c>
      <c r="AB2372" s="98"/>
      <c r="AC2372" s="20">
        <f t="shared" si="782"/>
        <v>34800000</v>
      </c>
      <c r="AD2372" s="98"/>
    </row>
    <row r="2373" spans="2:30" ht="30">
      <c r="B2373" s="13"/>
      <c r="C2373" s="174"/>
      <c r="D2373" s="21" t="s">
        <v>1950</v>
      </c>
      <c r="E2373" s="204"/>
      <c r="F2373" s="204"/>
      <c r="G2373" s="193"/>
      <c r="H2373" s="89"/>
      <c r="I2373" s="89"/>
      <c r="J2373" s="15">
        <v>20000000</v>
      </c>
      <c r="K2373" s="25"/>
      <c r="L2373" s="13" t="s">
        <v>1913</v>
      </c>
      <c r="M2373" s="22">
        <v>19850000</v>
      </c>
      <c r="N2373" s="161" t="s">
        <v>1969</v>
      </c>
      <c r="O2373" s="17"/>
      <c r="P2373" s="17"/>
      <c r="Q2373" s="17"/>
      <c r="R2373" s="17"/>
      <c r="S2373" s="17"/>
      <c r="T2373" s="17"/>
      <c r="U2373" s="17"/>
      <c r="V2373" s="17"/>
      <c r="W2373" s="17"/>
      <c r="X2373" s="17"/>
      <c r="Y2373" s="20">
        <v>100</v>
      </c>
      <c r="Z2373" s="98">
        <v>100</v>
      </c>
      <c r="AA2373" s="22">
        <f t="shared" ref="AA2373:AA2390" si="785">M2373</f>
        <v>19850000</v>
      </c>
      <c r="AB2373" s="98"/>
      <c r="AC2373" s="20">
        <f t="shared" si="782"/>
        <v>19850000</v>
      </c>
      <c r="AD2373" s="98"/>
    </row>
    <row r="2374" spans="2:30" ht="60">
      <c r="B2374" s="13"/>
      <c r="C2374" s="174"/>
      <c r="D2374" s="21" t="s">
        <v>1951</v>
      </c>
      <c r="E2374" s="204"/>
      <c r="F2374" s="204"/>
      <c r="G2374" s="193"/>
      <c r="H2374" s="89"/>
      <c r="I2374" s="89"/>
      <c r="J2374" s="15">
        <v>44000000</v>
      </c>
      <c r="K2374" s="25"/>
      <c r="L2374" s="13" t="s">
        <v>1913</v>
      </c>
      <c r="M2374" s="22">
        <v>43800000</v>
      </c>
      <c r="N2374" s="161" t="s">
        <v>1970</v>
      </c>
      <c r="O2374" s="17"/>
      <c r="P2374" s="17"/>
      <c r="Q2374" s="17"/>
      <c r="R2374" s="17"/>
      <c r="S2374" s="17"/>
      <c r="T2374" s="17"/>
      <c r="U2374" s="17"/>
      <c r="V2374" s="17"/>
      <c r="W2374" s="17"/>
      <c r="X2374" s="17"/>
      <c r="Y2374" s="20">
        <v>100</v>
      </c>
      <c r="Z2374" s="98">
        <v>100</v>
      </c>
      <c r="AA2374" s="22">
        <f t="shared" si="785"/>
        <v>43800000</v>
      </c>
      <c r="AB2374" s="98"/>
      <c r="AC2374" s="20">
        <f t="shared" si="782"/>
        <v>43800000</v>
      </c>
      <c r="AD2374" s="98"/>
    </row>
    <row r="2375" spans="2:30" ht="90">
      <c r="B2375" s="13"/>
      <c r="C2375" s="174"/>
      <c r="D2375" s="21" t="s">
        <v>1952</v>
      </c>
      <c r="E2375" s="204"/>
      <c r="F2375" s="204"/>
      <c r="G2375" s="193"/>
      <c r="H2375" s="89"/>
      <c r="I2375" s="89"/>
      <c r="J2375" s="15">
        <v>55000000</v>
      </c>
      <c r="K2375" s="25"/>
      <c r="L2375" s="13" t="s">
        <v>1913</v>
      </c>
      <c r="M2375" s="22">
        <v>54900000</v>
      </c>
      <c r="N2375" s="161" t="s">
        <v>1971</v>
      </c>
      <c r="O2375" s="17"/>
      <c r="P2375" s="17"/>
      <c r="Q2375" s="17"/>
      <c r="R2375" s="17"/>
      <c r="S2375" s="17"/>
      <c r="T2375" s="17"/>
      <c r="U2375" s="17"/>
      <c r="V2375" s="17"/>
      <c r="W2375" s="17"/>
      <c r="X2375" s="17"/>
      <c r="Y2375" s="20">
        <v>100</v>
      </c>
      <c r="Z2375" s="98">
        <v>100</v>
      </c>
      <c r="AA2375" s="22">
        <f t="shared" si="785"/>
        <v>54900000</v>
      </c>
      <c r="AB2375" s="98"/>
      <c r="AC2375" s="20">
        <f t="shared" ref="AC2375:AC2390" si="786">AA2375</f>
        <v>54900000</v>
      </c>
      <c r="AD2375" s="98"/>
    </row>
    <row r="2376" spans="2:30" ht="45">
      <c r="B2376" s="13"/>
      <c r="C2376" s="174"/>
      <c r="D2376" s="21" t="s">
        <v>1967</v>
      </c>
      <c r="E2376" s="204"/>
      <c r="F2376" s="204"/>
      <c r="G2376" s="193"/>
      <c r="H2376" s="89"/>
      <c r="I2376" s="89"/>
      <c r="J2376" s="15">
        <v>77000000</v>
      </c>
      <c r="K2376" s="25"/>
      <c r="L2376" s="13" t="s">
        <v>1913</v>
      </c>
      <c r="M2376" s="22">
        <v>76900000</v>
      </c>
      <c r="N2376" s="161" t="s">
        <v>1972</v>
      </c>
      <c r="O2376" s="17"/>
      <c r="P2376" s="17"/>
      <c r="Q2376" s="17"/>
      <c r="R2376" s="17"/>
      <c r="S2376" s="17"/>
      <c r="T2376" s="17"/>
      <c r="U2376" s="17"/>
      <c r="V2376" s="17"/>
      <c r="W2376" s="17"/>
      <c r="X2376" s="17"/>
      <c r="Y2376" s="20">
        <v>100</v>
      </c>
      <c r="Z2376" s="98">
        <v>100</v>
      </c>
      <c r="AA2376" s="22">
        <f t="shared" si="785"/>
        <v>76900000</v>
      </c>
      <c r="AB2376" s="98"/>
      <c r="AC2376" s="20">
        <f t="shared" si="786"/>
        <v>76900000</v>
      </c>
      <c r="AD2376" s="98"/>
    </row>
    <row r="2377" spans="2:30" ht="60">
      <c r="B2377" s="13"/>
      <c r="C2377" s="174"/>
      <c r="D2377" s="21" t="s">
        <v>1953</v>
      </c>
      <c r="E2377" s="204"/>
      <c r="F2377" s="204"/>
      <c r="G2377" s="193"/>
      <c r="H2377" s="89"/>
      <c r="I2377" s="89"/>
      <c r="J2377" s="15">
        <v>55000000</v>
      </c>
      <c r="K2377" s="25"/>
      <c r="L2377" s="13" t="s">
        <v>1913</v>
      </c>
      <c r="M2377" s="22">
        <v>54930000</v>
      </c>
      <c r="N2377" s="640" t="s">
        <v>1983</v>
      </c>
      <c r="O2377" s="17"/>
      <c r="P2377" s="17"/>
      <c r="Q2377" s="17"/>
      <c r="R2377" s="17"/>
      <c r="S2377" s="17"/>
      <c r="T2377" s="17"/>
      <c r="U2377" s="17"/>
      <c r="V2377" s="17"/>
      <c r="W2377" s="17"/>
      <c r="X2377" s="17"/>
      <c r="Y2377" s="20">
        <v>100</v>
      </c>
      <c r="Z2377" s="98">
        <v>100</v>
      </c>
      <c r="AA2377" s="22">
        <f t="shared" si="785"/>
        <v>54930000</v>
      </c>
      <c r="AB2377" s="98"/>
      <c r="AC2377" s="20">
        <f t="shared" si="786"/>
        <v>54930000</v>
      </c>
      <c r="AD2377" s="98"/>
    </row>
    <row r="2378" spans="2:30" ht="45">
      <c r="B2378" s="13"/>
      <c r="C2378" s="174"/>
      <c r="D2378" s="21" t="s">
        <v>1954</v>
      </c>
      <c r="E2378" s="204"/>
      <c r="F2378" s="204"/>
      <c r="G2378" s="193"/>
      <c r="H2378" s="89"/>
      <c r="I2378" s="89"/>
      <c r="J2378" s="15">
        <v>55000000</v>
      </c>
      <c r="K2378" s="25"/>
      <c r="L2378" s="13" t="s">
        <v>1913</v>
      </c>
      <c r="M2378" s="22">
        <v>54800000</v>
      </c>
      <c r="N2378" s="640" t="s">
        <v>1984</v>
      </c>
      <c r="O2378" s="17"/>
      <c r="P2378" s="17"/>
      <c r="Q2378" s="17"/>
      <c r="R2378" s="17"/>
      <c r="S2378" s="17"/>
      <c r="T2378" s="17"/>
      <c r="U2378" s="17"/>
      <c r="V2378" s="17"/>
      <c r="W2378" s="17"/>
      <c r="X2378" s="17"/>
      <c r="Y2378" s="20">
        <v>100</v>
      </c>
      <c r="Z2378" s="98">
        <v>100</v>
      </c>
      <c r="AA2378" s="22">
        <f t="shared" si="785"/>
        <v>54800000</v>
      </c>
      <c r="AB2378" s="98"/>
      <c r="AC2378" s="20">
        <f t="shared" si="786"/>
        <v>54800000</v>
      </c>
      <c r="AD2378" s="98"/>
    </row>
    <row r="2379" spans="2:30" ht="45">
      <c r="B2379" s="13"/>
      <c r="C2379" s="174"/>
      <c r="D2379" s="21" t="s">
        <v>1955</v>
      </c>
      <c r="E2379" s="204"/>
      <c r="F2379" s="204"/>
      <c r="G2379" s="193"/>
      <c r="H2379" s="89"/>
      <c r="I2379" s="89"/>
      <c r="J2379" s="15">
        <v>55000000</v>
      </c>
      <c r="K2379" s="25"/>
      <c r="L2379" s="13" t="s">
        <v>1913</v>
      </c>
      <c r="M2379" s="22">
        <v>54800000</v>
      </c>
      <c r="N2379" s="161" t="s">
        <v>1973</v>
      </c>
      <c r="O2379" s="17"/>
      <c r="P2379" s="17"/>
      <c r="Q2379" s="17"/>
      <c r="R2379" s="17"/>
      <c r="S2379" s="17"/>
      <c r="T2379" s="17"/>
      <c r="U2379" s="17"/>
      <c r="V2379" s="17"/>
      <c r="W2379" s="17"/>
      <c r="X2379" s="17"/>
      <c r="Y2379" s="20">
        <v>100</v>
      </c>
      <c r="Z2379" s="98">
        <v>100</v>
      </c>
      <c r="AA2379" s="22">
        <f t="shared" si="785"/>
        <v>54800000</v>
      </c>
      <c r="AB2379" s="98"/>
      <c r="AC2379" s="20">
        <f t="shared" si="786"/>
        <v>54800000</v>
      </c>
      <c r="AD2379" s="98"/>
    </row>
    <row r="2380" spans="2:30" ht="45">
      <c r="B2380" s="13"/>
      <c r="C2380" s="174"/>
      <c r="D2380" s="21" t="s">
        <v>1956</v>
      </c>
      <c r="E2380" s="204"/>
      <c r="F2380" s="204"/>
      <c r="G2380" s="193"/>
      <c r="H2380" s="89"/>
      <c r="I2380" s="89"/>
      <c r="J2380" s="15">
        <v>55000000</v>
      </c>
      <c r="K2380" s="25"/>
      <c r="L2380" s="13" t="s">
        <v>1913</v>
      </c>
      <c r="M2380" s="22">
        <v>54950000</v>
      </c>
      <c r="N2380" s="161" t="s">
        <v>1974</v>
      </c>
      <c r="O2380" s="17"/>
      <c r="P2380" s="17"/>
      <c r="Q2380" s="17"/>
      <c r="R2380" s="17"/>
      <c r="S2380" s="17"/>
      <c r="T2380" s="17"/>
      <c r="U2380" s="17"/>
      <c r="V2380" s="17"/>
      <c r="W2380" s="17"/>
      <c r="X2380" s="17"/>
      <c r="Y2380" s="20">
        <v>100</v>
      </c>
      <c r="Z2380" s="98">
        <v>100</v>
      </c>
      <c r="AA2380" s="22">
        <f t="shared" si="785"/>
        <v>54950000</v>
      </c>
      <c r="AB2380" s="98"/>
      <c r="AC2380" s="20">
        <f t="shared" si="786"/>
        <v>54950000</v>
      </c>
      <c r="AD2380" s="98"/>
    </row>
    <row r="2381" spans="2:30" ht="75">
      <c r="B2381" s="13"/>
      <c r="C2381" s="174"/>
      <c r="D2381" s="21" t="s">
        <v>1957</v>
      </c>
      <c r="E2381" s="204"/>
      <c r="F2381" s="204"/>
      <c r="G2381" s="193"/>
      <c r="H2381" s="89"/>
      <c r="I2381" s="89"/>
      <c r="J2381" s="15">
        <v>55000000</v>
      </c>
      <c r="K2381" s="25"/>
      <c r="L2381" s="13" t="s">
        <v>1913</v>
      </c>
      <c r="M2381" s="22">
        <v>36955000</v>
      </c>
      <c r="N2381" s="161" t="s">
        <v>1975</v>
      </c>
      <c r="O2381" s="17"/>
      <c r="P2381" s="17"/>
      <c r="Q2381" s="17"/>
      <c r="R2381" s="17"/>
      <c r="S2381" s="17"/>
      <c r="T2381" s="17"/>
      <c r="U2381" s="17"/>
      <c r="V2381" s="17"/>
      <c r="W2381" s="17"/>
      <c r="X2381" s="17"/>
      <c r="Y2381" s="20">
        <v>100</v>
      </c>
      <c r="Z2381" s="98">
        <v>100</v>
      </c>
      <c r="AA2381" s="22">
        <f t="shared" si="785"/>
        <v>36955000</v>
      </c>
      <c r="AB2381" s="98"/>
      <c r="AC2381" s="20">
        <f t="shared" si="786"/>
        <v>36955000</v>
      </c>
      <c r="AD2381" s="98"/>
    </row>
    <row r="2382" spans="2:30" ht="45">
      <c r="B2382" s="13"/>
      <c r="C2382" s="174"/>
      <c r="D2382" s="21" t="s">
        <v>1958</v>
      </c>
      <c r="E2382" s="204"/>
      <c r="F2382" s="204"/>
      <c r="G2382" s="193"/>
      <c r="H2382" s="89"/>
      <c r="I2382" s="89"/>
      <c r="J2382" s="15">
        <v>55000000</v>
      </c>
      <c r="K2382" s="25"/>
      <c r="L2382" s="13" t="s">
        <v>1913</v>
      </c>
      <c r="M2382" s="22">
        <v>54900000</v>
      </c>
      <c r="N2382" s="161" t="s">
        <v>1972</v>
      </c>
      <c r="O2382" s="17"/>
      <c r="P2382" s="17"/>
      <c r="Q2382" s="17"/>
      <c r="R2382" s="17"/>
      <c r="S2382" s="17"/>
      <c r="T2382" s="17"/>
      <c r="U2382" s="17"/>
      <c r="V2382" s="17"/>
      <c r="W2382" s="17"/>
      <c r="X2382" s="17"/>
      <c r="Y2382" s="20">
        <v>100</v>
      </c>
      <c r="Z2382" s="98">
        <v>100</v>
      </c>
      <c r="AA2382" s="22">
        <f t="shared" si="785"/>
        <v>54900000</v>
      </c>
      <c r="AB2382" s="98"/>
      <c r="AC2382" s="20">
        <f t="shared" si="786"/>
        <v>54900000</v>
      </c>
      <c r="AD2382" s="98"/>
    </row>
    <row r="2383" spans="2:30" ht="45">
      <c r="B2383" s="13"/>
      <c r="C2383" s="174"/>
      <c r="D2383" s="21" t="s">
        <v>1959</v>
      </c>
      <c r="E2383" s="204"/>
      <c r="F2383" s="204"/>
      <c r="G2383" s="193"/>
      <c r="H2383" s="89"/>
      <c r="I2383" s="89"/>
      <c r="J2383" s="15">
        <v>55000000</v>
      </c>
      <c r="K2383" s="25"/>
      <c r="L2383" s="13" t="s">
        <v>1913</v>
      </c>
      <c r="M2383" s="22">
        <v>54745000</v>
      </c>
      <c r="N2383" s="161" t="s">
        <v>1976</v>
      </c>
      <c r="O2383" s="17"/>
      <c r="P2383" s="17"/>
      <c r="Q2383" s="17"/>
      <c r="R2383" s="17"/>
      <c r="S2383" s="17"/>
      <c r="T2383" s="17"/>
      <c r="U2383" s="17"/>
      <c r="V2383" s="17"/>
      <c r="W2383" s="17"/>
      <c r="X2383" s="17"/>
      <c r="Y2383" s="20">
        <v>100</v>
      </c>
      <c r="Z2383" s="98">
        <v>100</v>
      </c>
      <c r="AA2383" s="22">
        <f t="shared" si="785"/>
        <v>54745000</v>
      </c>
      <c r="AB2383" s="98"/>
      <c r="AC2383" s="20">
        <f t="shared" si="786"/>
        <v>54745000</v>
      </c>
      <c r="AD2383" s="98"/>
    </row>
    <row r="2384" spans="2:30" ht="45">
      <c r="B2384" s="13"/>
      <c r="C2384" s="174"/>
      <c r="D2384" s="21" t="s">
        <v>1960</v>
      </c>
      <c r="E2384" s="204"/>
      <c r="F2384" s="204"/>
      <c r="G2384" s="193"/>
      <c r="H2384" s="89"/>
      <c r="I2384" s="89"/>
      <c r="J2384" s="15">
        <v>55000000</v>
      </c>
      <c r="K2384" s="25"/>
      <c r="L2384" s="13" t="s">
        <v>1913</v>
      </c>
      <c r="M2384" s="22">
        <v>54800000</v>
      </c>
      <c r="N2384" s="161" t="s">
        <v>1977</v>
      </c>
      <c r="O2384" s="17"/>
      <c r="P2384" s="17"/>
      <c r="Q2384" s="17"/>
      <c r="R2384" s="17"/>
      <c r="S2384" s="17"/>
      <c r="T2384" s="17"/>
      <c r="U2384" s="17"/>
      <c r="V2384" s="17"/>
      <c r="W2384" s="17"/>
      <c r="X2384" s="17"/>
      <c r="Y2384" s="20">
        <v>100</v>
      </c>
      <c r="Z2384" s="98">
        <v>100</v>
      </c>
      <c r="AA2384" s="22">
        <f t="shared" si="785"/>
        <v>54800000</v>
      </c>
      <c r="AB2384" s="98"/>
      <c r="AC2384" s="20">
        <f t="shared" si="786"/>
        <v>54800000</v>
      </c>
      <c r="AD2384" s="98"/>
    </row>
    <row r="2385" spans="2:32" ht="60">
      <c r="B2385" s="13"/>
      <c r="C2385" s="174"/>
      <c r="D2385" s="21" t="s">
        <v>1961</v>
      </c>
      <c r="E2385" s="204"/>
      <c r="F2385" s="204"/>
      <c r="G2385" s="193"/>
      <c r="H2385" s="89"/>
      <c r="I2385" s="89"/>
      <c r="J2385" s="15">
        <v>55000000</v>
      </c>
      <c r="K2385" s="25"/>
      <c r="L2385" s="13" t="s">
        <v>1913</v>
      </c>
      <c r="M2385" s="22">
        <v>54900000</v>
      </c>
      <c r="N2385" s="161" t="s">
        <v>1970</v>
      </c>
      <c r="O2385" s="17"/>
      <c r="P2385" s="17"/>
      <c r="Q2385" s="17"/>
      <c r="R2385" s="17"/>
      <c r="S2385" s="17"/>
      <c r="T2385" s="17"/>
      <c r="U2385" s="17"/>
      <c r="V2385" s="17"/>
      <c r="W2385" s="17"/>
      <c r="X2385" s="17"/>
      <c r="Y2385" s="20">
        <v>100</v>
      </c>
      <c r="Z2385" s="98">
        <v>100</v>
      </c>
      <c r="AA2385" s="22">
        <f t="shared" si="785"/>
        <v>54900000</v>
      </c>
      <c r="AB2385" s="98"/>
      <c r="AC2385" s="20">
        <f t="shared" si="786"/>
        <v>54900000</v>
      </c>
      <c r="AD2385" s="98"/>
    </row>
    <row r="2386" spans="2:32" ht="75">
      <c r="B2386" s="13"/>
      <c r="C2386" s="174"/>
      <c r="D2386" s="21" t="s">
        <v>1962</v>
      </c>
      <c r="E2386" s="204"/>
      <c r="F2386" s="204"/>
      <c r="G2386" s="193"/>
      <c r="H2386" s="89"/>
      <c r="I2386" s="89"/>
      <c r="J2386" s="15">
        <v>55000000</v>
      </c>
      <c r="K2386" s="25"/>
      <c r="L2386" s="13" t="s">
        <v>1913</v>
      </c>
      <c r="M2386" s="22">
        <v>54800000</v>
      </c>
      <c r="N2386" s="161" t="s">
        <v>1978</v>
      </c>
      <c r="O2386" s="17"/>
      <c r="P2386" s="17"/>
      <c r="Q2386" s="17"/>
      <c r="R2386" s="17"/>
      <c r="S2386" s="17"/>
      <c r="T2386" s="17"/>
      <c r="U2386" s="17"/>
      <c r="V2386" s="17"/>
      <c r="W2386" s="17"/>
      <c r="X2386" s="17"/>
      <c r="Y2386" s="20">
        <v>100</v>
      </c>
      <c r="Z2386" s="98">
        <v>100</v>
      </c>
      <c r="AA2386" s="22">
        <f t="shared" si="785"/>
        <v>54800000</v>
      </c>
      <c r="AB2386" s="98"/>
      <c r="AC2386" s="20">
        <f t="shared" si="786"/>
        <v>54800000</v>
      </c>
      <c r="AD2386" s="98"/>
    </row>
    <row r="2387" spans="2:32" ht="60">
      <c r="B2387" s="13"/>
      <c r="C2387" s="174"/>
      <c r="D2387" s="21" t="s">
        <v>1963</v>
      </c>
      <c r="E2387" s="204"/>
      <c r="F2387" s="204"/>
      <c r="G2387" s="193"/>
      <c r="H2387" s="89"/>
      <c r="I2387" s="89"/>
      <c r="J2387" s="15">
        <v>55000000</v>
      </c>
      <c r="K2387" s="25"/>
      <c r="L2387" s="13" t="s">
        <v>1913</v>
      </c>
      <c r="M2387" s="22">
        <v>54455000</v>
      </c>
      <c r="N2387" s="161" t="s">
        <v>1979</v>
      </c>
      <c r="O2387" s="17"/>
      <c r="P2387" s="17"/>
      <c r="Q2387" s="17"/>
      <c r="R2387" s="17"/>
      <c r="S2387" s="17"/>
      <c r="T2387" s="17"/>
      <c r="U2387" s="17"/>
      <c r="V2387" s="17"/>
      <c r="W2387" s="17"/>
      <c r="X2387" s="17"/>
      <c r="Y2387" s="20">
        <v>100</v>
      </c>
      <c r="Z2387" s="98">
        <v>100</v>
      </c>
      <c r="AA2387" s="22">
        <f t="shared" si="785"/>
        <v>54455000</v>
      </c>
      <c r="AB2387" s="98"/>
      <c r="AC2387" s="20">
        <f t="shared" si="786"/>
        <v>54455000</v>
      </c>
      <c r="AD2387" s="98"/>
    </row>
    <row r="2388" spans="2:32" ht="60">
      <c r="B2388" s="13"/>
      <c r="C2388" s="174"/>
      <c r="D2388" s="21" t="s">
        <v>1964</v>
      </c>
      <c r="E2388" s="204"/>
      <c r="F2388" s="204"/>
      <c r="G2388" s="193"/>
      <c r="H2388" s="89"/>
      <c r="I2388" s="89"/>
      <c r="J2388" s="15">
        <v>49500000</v>
      </c>
      <c r="K2388" s="25"/>
      <c r="L2388" s="13" t="s">
        <v>1913</v>
      </c>
      <c r="M2388" s="22">
        <v>49250000</v>
      </c>
      <c r="N2388" s="161" t="s">
        <v>1980</v>
      </c>
      <c r="O2388" s="17"/>
      <c r="P2388" s="17"/>
      <c r="Q2388" s="17"/>
      <c r="R2388" s="17"/>
      <c r="S2388" s="17"/>
      <c r="T2388" s="17"/>
      <c r="U2388" s="17"/>
      <c r="V2388" s="17"/>
      <c r="W2388" s="17"/>
      <c r="X2388" s="17"/>
      <c r="Y2388" s="20">
        <v>100</v>
      </c>
      <c r="Z2388" s="98">
        <v>100</v>
      </c>
      <c r="AA2388" s="22">
        <f t="shared" si="785"/>
        <v>49250000</v>
      </c>
      <c r="AB2388" s="98"/>
      <c r="AC2388" s="20">
        <f t="shared" si="786"/>
        <v>49250000</v>
      </c>
      <c r="AD2388" s="98"/>
    </row>
    <row r="2389" spans="2:32" ht="45">
      <c r="B2389" s="13"/>
      <c r="C2389" s="174"/>
      <c r="D2389" s="21" t="s">
        <v>1965</v>
      </c>
      <c r="E2389" s="204"/>
      <c r="F2389" s="204"/>
      <c r="G2389" s="193"/>
      <c r="H2389" s="89"/>
      <c r="I2389" s="89"/>
      <c r="J2389" s="15">
        <v>55000000</v>
      </c>
      <c r="K2389" s="25"/>
      <c r="L2389" s="13" t="s">
        <v>1913</v>
      </c>
      <c r="M2389" s="22">
        <v>54800000</v>
      </c>
      <c r="N2389" s="161" t="s">
        <v>1981</v>
      </c>
      <c r="O2389" s="17"/>
      <c r="P2389" s="17"/>
      <c r="Q2389" s="17"/>
      <c r="R2389" s="17"/>
      <c r="S2389" s="17"/>
      <c r="T2389" s="17"/>
      <c r="U2389" s="17"/>
      <c r="V2389" s="17"/>
      <c r="W2389" s="17"/>
      <c r="X2389" s="17"/>
      <c r="Y2389" s="20">
        <v>100</v>
      </c>
      <c r="Z2389" s="98">
        <v>100</v>
      </c>
      <c r="AA2389" s="22">
        <f t="shared" si="785"/>
        <v>54800000</v>
      </c>
      <c r="AB2389" s="98"/>
      <c r="AC2389" s="20">
        <f t="shared" si="786"/>
        <v>54800000</v>
      </c>
      <c r="AD2389" s="98"/>
    </row>
    <row r="2390" spans="2:32" ht="45">
      <c r="B2390" s="13"/>
      <c r="C2390" s="174"/>
      <c r="D2390" s="21" t="s">
        <v>1966</v>
      </c>
      <c r="E2390" s="204"/>
      <c r="F2390" s="204"/>
      <c r="G2390" s="193"/>
      <c r="H2390" s="89"/>
      <c r="I2390" s="89"/>
      <c r="J2390" s="15">
        <v>55000000</v>
      </c>
      <c r="K2390" s="25"/>
      <c r="L2390" s="13" t="s">
        <v>1913</v>
      </c>
      <c r="M2390" s="22">
        <v>54777000</v>
      </c>
      <c r="N2390" s="161" t="s">
        <v>1982</v>
      </c>
      <c r="O2390" s="17"/>
      <c r="P2390" s="17"/>
      <c r="Q2390" s="17"/>
      <c r="R2390" s="17"/>
      <c r="S2390" s="17"/>
      <c r="T2390" s="17"/>
      <c r="U2390" s="17"/>
      <c r="V2390" s="17"/>
      <c r="W2390" s="17"/>
      <c r="X2390" s="17"/>
      <c r="Y2390" s="20">
        <v>100</v>
      </c>
      <c r="Z2390" s="98">
        <v>100</v>
      </c>
      <c r="AA2390" s="22">
        <f t="shared" si="785"/>
        <v>54777000</v>
      </c>
      <c r="AB2390" s="98"/>
      <c r="AC2390" s="20">
        <f t="shared" si="786"/>
        <v>54777000</v>
      </c>
      <c r="AD2390" s="98"/>
    </row>
    <row r="2391" spans="2:32" ht="38.25">
      <c r="B2391" s="13">
        <f>B2371+1</f>
        <v>33</v>
      </c>
      <c r="C2391" s="751" t="s">
        <v>385</v>
      </c>
      <c r="D2391" s="75" t="s">
        <v>2360</v>
      </c>
      <c r="E2391" s="204"/>
      <c r="F2391" s="204"/>
      <c r="G2391" s="193"/>
      <c r="H2391" s="89"/>
      <c r="I2391" s="89"/>
      <c r="J2391" s="15"/>
      <c r="K2391" s="99">
        <v>319000</v>
      </c>
      <c r="L2391" s="13"/>
      <c r="M2391" s="22"/>
      <c r="N2391" s="161"/>
      <c r="O2391" s="17"/>
      <c r="P2391" s="17"/>
      <c r="Q2391" s="17"/>
      <c r="R2391" s="17"/>
      <c r="S2391" s="17"/>
      <c r="T2391" s="17"/>
      <c r="U2391" s="17"/>
      <c r="V2391" s="17"/>
      <c r="W2391" s="17"/>
      <c r="X2391" s="17"/>
      <c r="Y2391" s="20">
        <v>0</v>
      </c>
      <c r="Z2391" s="98">
        <v>0</v>
      </c>
      <c r="AA2391" s="22"/>
      <c r="AB2391" s="98"/>
      <c r="AC2391" s="20"/>
      <c r="AD2391" s="98"/>
    </row>
    <row r="2392" spans="2:32" ht="25.5">
      <c r="B2392" s="13">
        <f>B2391+1</f>
        <v>34</v>
      </c>
      <c r="C2392" s="751" t="s">
        <v>621</v>
      </c>
      <c r="D2392" s="75" t="s">
        <v>2361</v>
      </c>
      <c r="E2392" s="204"/>
      <c r="F2392" s="204"/>
      <c r="G2392" s="193"/>
      <c r="H2392" s="89"/>
      <c r="I2392" s="89"/>
      <c r="J2392" s="15"/>
      <c r="K2392" s="99">
        <v>6000000</v>
      </c>
      <c r="L2392" s="13"/>
      <c r="M2392" s="22"/>
      <c r="N2392" s="161"/>
      <c r="O2392" s="17"/>
      <c r="P2392" s="17"/>
      <c r="Q2392" s="17"/>
      <c r="R2392" s="17"/>
      <c r="S2392" s="17"/>
      <c r="T2392" s="17"/>
      <c r="U2392" s="17"/>
      <c r="V2392" s="17"/>
      <c r="W2392" s="17"/>
      <c r="X2392" s="17"/>
      <c r="Y2392" s="20">
        <v>100</v>
      </c>
      <c r="Z2392" s="98">
        <v>100</v>
      </c>
      <c r="AA2392" s="22">
        <v>6000000</v>
      </c>
      <c r="AB2392" s="98">
        <v>100</v>
      </c>
      <c r="AC2392" s="20">
        <f>AA2392</f>
        <v>6000000</v>
      </c>
      <c r="AD2392" s="98">
        <v>100</v>
      </c>
    </row>
    <row r="2393" spans="2:32" ht="27">
      <c r="B2393" s="13"/>
      <c r="C2393" s="86" t="s">
        <v>1354</v>
      </c>
      <c r="D2393" s="86" t="s">
        <v>1355</v>
      </c>
      <c r="E2393" s="204"/>
      <c r="F2393" s="204"/>
      <c r="G2393" s="193"/>
      <c r="H2393" s="89"/>
      <c r="I2393" s="89" t="s">
        <v>1</v>
      </c>
      <c r="J2393" s="88"/>
      <c r="K2393" s="88"/>
      <c r="L2393" s="13"/>
      <c r="M2393" s="17"/>
      <c r="N2393" s="17"/>
      <c r="O2393" s="17"/>
      <c r="P2393" s="17"/>
      <c r="Q2393" s="17"/>
      <c r="R2393" s="17"/>
      <c r="S2393" s="17"/>
      <c r="T2393" s="17"/>
      <c r="U2393" s="17"/>
      <c r="V2393" s="17"/>
      <c r="W2393" s="17"/>
      <c r="X2393" s="17"/>
      <c r="Y2393" s="20"/>
      <c r="Z2393" s="98"/>
      <c r="AA2393" s="22"/>
      <c r="AB2393" s="98"/>
      <c r="AC2393" s="20"/>
      <c r="AD2393" s="98"/>
    </row>
    <row r="2394" spans="2:32" ht="27">
      <c r="B2394" s="13">
        <f>B2392+1</f>
        <v>35</v>
      </c>
      <c r="C2394" s="74" t="s">
        <v>238</v>
      </c>
      <c r="D2394" s="74" t="s">
        <v>1356</v>
      </c>
      <c r="E2394" s="204"/>
      <c r="F2394" s="204"/>
      <c r="G2394" s="193"/>
      <c r="H2394" s="89"/>
      <c r="I2394" s="89"/>
      <c r="J2394" s="15">
        <v>153822000</v>
      </c>
      <c r="K2394" s="99">
        <v>152516000</v>
      </c>
      <c r="L2394" s="13"/>
      <c r="M2394" s="44"/>
      <c r="N2394" s="17"/>
      <c r="O2394" s="17"/>
      <c r="P2394" s="17"/>
      <c r="Q2394" s="17"/>
      <c r="R2394" s="17"/>
      <c r="S2394" s="17"/>
      <c r="T2394" s="17"/>
      <c r="U2394" s="17"/>
      <c r="V2394" s="17"/>
      <c r="W2394" s="17"/>
      <c r="X2394" s="17"/>
      <c r="Y2394" s="244">
        <v>100</v>
      </c>
      <c r="Z2394" s="718">
        <v>100</v>
      </c>
      <c r="AA2394" s="192">
        <v>152470200</v>
      </c>
      <c r="AB2394" s="718">
        <f t="shared" si="780"/>
        <v>99.969970363765114</v>
      </c>
      <c r="AC2394" s="244">
        <f t="shared" si="782"/>
        <v>152470200</v>
      </c>
      <c r="AD2394" s="718">
        <f t="shared" si="781"/>
        <v>99.969970363765114</v>
      </c>
      <c r="AF2394" s="71"/>
    </row>
    <row r="2395" spans="2:32" ht="27">
      <c r="B2395" s="13"/>
      <c r="C2395" s="93"/>
      <c r="D2395" s="93" t="s">
        <v>2073</v>
      </c>
      <c r="E2395" s="204"/>
      <c r="F2395" s="204"/>
      <c r="G2395" s="193"/>
      <c r="H2395" s="89"/>
      <c r="I2395" s="89"/>
      <c r="J2395" s="15">
        <v>90000000</v>
      </c>
      <c r="K2395" s="25">
        <v>0</v>
      </c>
      <c r="L2395" s="13"/>
      <c r="M2395" s="73">
        <v>89793000</v>
      </c>
      <c r="N2395" s="17"/>
      <c r="O2395" s="17"/>
      <c r="P2395" s="17"/>
      <c r="Q2395" s="17"/>
      <c r="R2395" s="17"/>
      <c r="S2395" s="17"/>
      <c r="T2395" s="17"/>
      <c r="U2395" s="17"/>
      <c r="V2395" s="17"/>
      <c r="W2395" s="17"/>
      <c r="X2395" s="17"/>
      <c r="Y2395" s="20">
        <v>100</v>
      </c>
      <c r="Z2395" s="98">
        <v>100</v>
      </c>
      <c r="AA2395" s="22">
        <v>89793000</v>
      </c>
      <c r="AB2395" s="98"/>
      <c r="AC2395" s="20">
        <f t="shared" si="782"/>
        <v>89793000</v>
      </c>
      <c r="AD2395" s="98"/>
      <c r="AF2395" s="71"/>
    </row>
    <row r="2396" spans="2:32">
      <c r="B2396" s="13"/>
      <c r="C2396" s="93"/>
      <c r="D2396" s="93" t="s">
        <v>2075</v>
      </c>
      <c r="E2396" s="204"/>
      <c r="F2396" s="204"/>
      <c r="G2396" s="193"/>
      <c r="H2396" s="89"/>
      <c r="I2396" s="89"/>
      <c r="J2396" s="15">
        <v>31000000</v>
      </c>
      <c r="K2396" s="25">
        <v>0</v>
      </c>
      <c r="L2396" s="13"/>
      <c r="M2396" s="73">
        <v>30500800</v>
      </c>
      <c r="N2396" s="17"/>
      <c r="O2396" s="17"/>
      <c r="P2396" s="17"/>
      <c r="Q2396" s="17"/>
      <c r="R2396" s="17"/>
      <c r="S2396" s="17"/>
      <c r="T2396" s="17"/>
      <c r="U2396" s="17"/>
      <c r="V2396" s="17"/>
      <c r="W2396" s="17"/>
      <c r="X2396" s="17"/>
      <c r="Y2396" s="20">
        <v>100</v>
      </c>
      <c r="Z2396" s="98">
        <v>100</v>
      </c>
      <c r="AA2396" s="22">
        <v>30500000</v>
      </c>
      <c r="AB2396" s="98"/>
      <c r="AC2396" s="20">
        <f t="shared" si="782"/>
        <v>30500000</v>
      </c>
      <c r="AD2396" s="98"/>
      <c r="AF2396" s="71"/>
    </row>
    <row r="2397" spans="2:32">
      <c r="B2397" s="13"/>
      <c r="C2397" s="93"/>
      <c r="D2397" s="93" t="s">
        <v>2074</v>
      </c>
      <c r="E2397" s="204"/>
      <c r="F2397" s="204"/>
      <c r="G2397" s="193"/>
      <c r="H2397" s="89"/>
      <c r="I2397" s="89"/>
      <c r="J2397" s="15">
        <v>26400000</v>
      </c>
      <c r="K2397" s="25">
        <v>0</v>
      </c>
      <c r="L2397" s="13"/>
      <c r="M2397" s="73">
        <v>25799400</v>
      </c>
      <c r="N2397" s="17"/>
      <c r="O2397" s="17"/>
      <c r="P2397" s="17"/>
      <c r="Q2397" s="17"/>
      <c r="R2397" s="17"/>
      <c r="S2397" s="17"/>
      <c r="T2397" s="17"/>
      <c r="U2397" s="17"/>
      <c r="V2397" s="17"/>
      <c r="W2397" s="17"/>
      <c r="X2397" s="17"/>
      <c r="Y2397" s="20">
        <v>100</v>
      </c>
      <c r="Z2397" s="98">
        <v>100</v>
      </c>
      <c r="AA2397" s="22">
        <v>25799400</v>
      </c>
      <c r="AB2397" s="98"/>
      <c r="AC2397" s="20">
        <f t="shared" si="782"/>
        <v>25799400</v>
      </c>
      <c r="AD2397" s="98"/>
      <c r="AF2397" s="71"/>
    </row>
    <row r="2398" spans="2:32" ht="27">
      <c r="B2398" s="13">
        <f>B2394+1</f>
        <v>36</v>
      </c>
      <c r="C2398" s="93" t="s">
        <v>240</v>
      </c>
      <c r="D2398" s="93" t="s">
        <v>1357</v>
      </c>
      <c r="E2398" s="204"/>
      <c r="F2398" s="204"/>
      <c r="G2398" s="193"/>
      <c r="H2398" s="204"/>
      <c r="I2398" s="89"/>
      <c r="J2398" s="15">
        <v>28000000</v>
      </c>
      <c r="K2398" s="99">
        <v>28000000</v>
      </c>
      <c r="L2398" s="13"/>
      <c r="M2398" s="148"/>
      <c r="N2398" s="17"/>
      <c r="O2398" s="17"/>
      <c r="P2398" s="17"/>
      <c r="Q2398" s="17"/>
      <c r="R2398" s="17"/>
      <c r="S2398" s="17"/>
      <c r="T2398" s="17"/>
      <c r="U2398" s="17"/>
      <c r="V2398" s="17"/>
      <c r="W2398" s="17"/>
      <c r="X2398" s="17"/>
      <c r="Y2398" s="20">
        <v>100</v>
      </c>
      <c r="Z2398" s="98">
        <v>100</v>
      </c>
      <c r="AA2398" s="22">
        <v>27607500</v>
      </c>
      <c r="AB2398" s="98">
        <f t="shared" si="780"/>
        <v>98.598214285714278</v>
      </c>
      <c r="AC2398" s="20">
        <f t="shared" si="782"/>
        <v>27607500</v>
      </c>
      <c r="AD2398" s="98">
        <f t="shared" si="781"/>
        <v>98.598214285714278</v>
      </c>
    </row>
    <row r="2399" spans="2:32" ht="38.25">
      <c r="B2399" s="13">
        <f>B2398+1</f>
        <v>37</v>
      </c>
      <c r="C2399" s="93" t="s">
        <v>736</v>
      </c>
      <c r="D2399" s="21" t="s">
        <v>1358</v>
      </c>
      <c r="E2399" s="347"/>
      <c r="F2399" s="347"/>
      <c r="G2399" s="498"/>
      <c r="H2399" s="105"/>
      <c r="I2399" s="105" t="s">
        <v>2089</v>
      </c>
      <c r="J2399" s="15">
        <v>49900000</v>
      </c>
      <c r="K2399" s="99">
        <v>49900000</v>
      </c>
      <c r="L2399" s="47"/>
      <c r="M2399" s="455"/>
      <c r="N2399" s="51"/>
      <c r="O2399" s="51"/>
      <c r="P2399" s="51"/>
      <c r="Q2399" s="51"/>
      <c r="R2399" s="51"/>
      <c r="S2399" s="51"/>
      <c r="T2399" s="51"/>
      <c r="U2399" s="51"/>
      <c r="V2399" s="51"/>
      <c r="W2399" s="51"/>
      <c r="X2399" s="51"/>
      <c r="Y2399" s="20">
        <v>100</v>
      </c>
      <c r="Z2399" s="98">
        <v>100</v>
      </c>
      <c r="AA2399" s="112">
        <v>49140000</v>
      </c>
      <c r="AB2399" s="98">
        <f t="shared" si="780"/>
        <v>98.476953907815641</v>
      </c>
      <c r="AC2399" s="20">
        <f t="shared" si="782"/>
        <v>49140000</v>
      </c>
      <c r="AD2399" s="98">
        <f t="shared" si="781"/>
        <v>98.476953907815641</v>
      </c>
    </row>
    <row r="2400" spans="2:32" ht="17.25" customHeight="1">
      <c r="B2400" s="37">
        <v>172</v>
      </c>
      <c r="C2400" s="855" t="s">
        <v>1359</v>
      </c>
      <c r="D2400" s="855"/>
      <c r="E2400" s="483"/>
      <c r="F2400" s="483">
        <v>36</v>
      </c>
      <c r="G2400" s="468"/>
      <c r="H2400" s="483"/>
      <c r="I2400" s="468"/>
      <c r="J2400" s="35">
        <f>SUM(J2298+J2299+J2301+J2302+J2303+J2304+J2305+J2306+J2307+J2309+J2310+J2311+J2312+J2313+J2316+J2317+J2318+J2319+J2320+J2321+J2328+J2329+J2330+J2331+J2359+J2364+J2367+J2368+J2370+J2371+J2394+J2398+J2399)</f>
        <v>5195336000</v>
      </c>
      <c r="K2400" s="35">
        <f>SUM(K2298+K2299+K2301+K2302+K2303+K2304+K2305+K2306+K2307+K2309+K2310+K2311+K2312+K2313+K2314+K2316+K2317+K2318+K2319+K2320+K2321+K2328+K2329+K2330+K2331+K2359+K2364+K2365+K2367+K2368+K2370+K2371+K2391+K2392+K2394+K2398+K2399)</f>
        <v>5698075000</v>
      </c>
      <c r="L2400" s="37"/>
      <c r="M2400" s="38"/>
      <c r="N2400" s="38"/>
      <c r="O2400" s="38"/>
      <c r="P2400" s="38"/>
      <c r="Q2400" s="38"/>
      <c r="R2400" s="38"/>
      <c r="S2400" s="38"/>
      <c r="T2400" s="38"/>
      <c r="U2400" s="38"/>
      <c r="V2400" s="38"/>
      <c r="W2400" s="38"/>
      <c r="X2400" s="38"/>
      <c r="Y2400" s="42">
        <f>SUM(Y2298+Y2299+Y2301+Y2302+Y2303+Y2304+Y2305+Y2306+Y2307+Y2309+Y2310+Y2311+Y2312+Y2313+Y2316+Y2317+Y2318+Y2319+Y2320+Y2321+Y2328+Y2329+Y2330+Y2331+Y2359+Y2364+Y2367+Y2368+Y2370+Y2371+Y2394+Y2398+Y2399)/35</f>
        <v>87.285714285714292</v>
      </c>
      <c r="Z2400" s="42">
        <f>SUM(Z2298+Z2299+Z2301+Z2302+Z2303+Z2304+Z2305+Z2306+Z2307+Z2309+Z2310+Z2311+Z2312+Z2313+Z2316+Z2317+Z2318+Z2319+Z2320+Z2321+Z2328+Z2329+Z2330+Z2331+Z2359+Z2364+Z2367+Z2368+Z2370+Z2371+Z2394+Z2398+Z2399)/35</f>
        <v>87.56</v>
      </c>
      <c r="AA2400" s="67">
        <f>SUM(AA2298+AA2299+AA2301+AA2302+AA2303+AA2304+AA2305+AA2306+AA2307+AA2309+AA2310+AA2311+AA2312+AA2313+AA2316+AA2317+AA2318+AA2319+AA2320+AA2321+AA2328+AA2329+AA2330+AA2331+AA2359+AA2364+AA2367+AA2368+AA2370+AA2371+AA2394+AA2398+AA2399)</f>
        <v>5503576781</v>
      </c>
      <c r="AB2400" s="42">
        <f>SUM(AB2298+AB2299+AB2301+AB2302+AB2303+AB2304+AB2305+AB2306+AB2307+AB2309+AB2310+AB2311+AB2312+AB2313+AB2316+AB2317+AB2318+AB2319+AB2320+AB2321+AB2328+AB2329+AB2330+AB2331+AB2359+AB2364+AB2367+AB2368+AB2370+AB2371+AB2394+AB2398+AB2399)/35</f>
        <v>85.726135821612843</v>
      </c>
      <c r="AC2400" s="67">
        <f>SUM(AC2298+AC2299+AC2301+AC2302+AC2303+AC2304+AC2305+AC2306+AC2307+AC2309+AC2310+AC2311+AC2312+AC2313+AC2316+AC2317+AC2318+AC2319+AC2320+AC2321+AC2328+AC2329+AC2330+AC2331+AC2359+AC2364+AC2367+AC2368+AC2370+AC2371+AC2394+AC2398+AC2399)</f>
        <v>5503576781</v>
      </c>
      <c r="AD2400" s="42">
        <f>SUM(AD2298+AD2299+AD2301+AD2302+AD2303+AD2304+AD2305+AD2306+AD2307+AD2309+AD2310+AD2311+AD2312+AD2313+AD2316+AD2317+AD2318+AD2319+AD2320+AD2321+AD2328+AD2329+AD2330+AD2331+AD2359+AD2364+AD2367+AD2368+AD2370+AD2371+AD2394+AD2398+AD2399)/31</f>
        <v>96.787572701820949</v>
      </c>
    </row>
    <row r="2401" spans="1:40" ht="28.5" customHeight="1">
      <c r="B2401" s="66"/>
      <c r="C2401" s="63" t="s">
        <v>1360</v>
      </c>
      <c r="D2401" s="64" t="s">
        <v>1361</v>
      </c>
      <c r="E2401" s="484"/>
      <c r="F2401" s="484"/>
      <c r="G2401" s="472"/>
      <c r="H2401" s="484"/>
      <c r="I2401" s="472"/>
      <c r="J2401" s="65"/>
      <c r="K2401" s="65"/>
      <c r="L2401" s="66"/>
      <c r="M2401" s="63"/>
      <c r="N2401" s="63"/>
      <c r="O2401" s="63"/>
      <c r="P2401" s="63"/>
      <c r="Q2401" s="63"/>
      <c r="R2401" s="63"/>
      <c r="S2401" s="63"/>
      <c r="T2401" s="63"/>
      <c r="U2401" s="63"/>
      <c r="V2401" s="63"/>
      <c r="W2401" s="63"/>
      <c r="X2401" s="63"/>
      <c r="Y2401" s="63"/>
      <c r="Z2401" s="63"/>
      <c r="AA2401" s="63"/>
      <c r="AB2401" s="63"/>
      <c r="AC2401" s="63"/>
      <c r="AD2401" s="63"/>
      <c r="AG2401" s="71"/>
    </row>
    <row r="2402" spans="1:40" ht="17.25" customHeight="1">
      <c r="B2402" s="13"/>
      <c r="C2402" s="86" t="s">
        <v>1362</v>
      </c>
      <c r="D2402" s="86" t="s">
        <v>1363</v>
      </c>
      <c r="E2402" s="485"/>
      <c r="F2402" s="485"/>
      <c r="G2402" s="441"/>
      <c r="H2402" s="87"/>
      <c r="I2402" s="87"/>
      <c r="J2402" s="88"/>
      <c r="K2402" s="88"/>
      <c r="L2402" s="13"/>
      <c r="M2402" s="17"/>
      <c r="N2402" s="17"/>
      <c r="O2402" s="17"/>
      <c r="P2402" s="17"/>
      <c r="Q2402" s="17"/>
      <c r="R2402" s="17"/>
      <c r="S2402" s="17"/>
      <c r="T2402" s="17"/>
      <c r="U2402" s="17"/>
      <c r="V2402" s="17"/>
      <c r="W2402" s="17"/>
      <c r="X2402" s="17"/>
      <c r="Y2402" s="17"/>
      <c r="Z2402" s="17"/>
      <c r="AA2402" s="17"/>
      <c r="AB2402" s="17"/>
      <c r="AC2402" s="17"/>
      <c r="AD2402" s="17"/>
      <c r="AH2402" s="71"/>
    </row>
    <row r="2403" spans="1:40" ht="15.75" customHeight="1">
      <c r="B2403" s="13">
        <v>1</v>
      </c>
      <c r="C2403" s="74" t="s">
        <v>600</v>
      </c>
      <c r="D2403" s="74" t="s">
        <v>1364</v>
      </c>
      <c r="E2403" s="204"/>
      <c r="F2403" s="204"/>
      <c r="G2403" s="193"/>
      <c r="H2403" s="89"/>
      <c r="I2403" s="89"/>
      <c r="J2403" s="15">
        <v>170000000</v>
      </c>
      <c r="K2403" s="15">
        <v>170000000</v>
      </c>
      <c r="L2403" s="13"/>
      <c r="M2403" s="17"/>
      <c r="N2403" s="17"/>
      <c r="O2403" s="17"/>
      <c r="P2403" s="17"/>
      <c r="Q2403" s="17"/>
      <c r="R2403" s="17"/>
      <c r="S2403" s="17"/>
      <c r="T2403" s="17"/>
      <c r="U2403" s="17"/>
      <c r="V2403" s="17"/>
      <c r="W2403" s="17"/>
      <c r="X2403" s="17"/>
      <c r="Y2403" s="53">
        <v>100</v>
      </c>
      <c r="Z2403" s="53">
        <v>100</v>
      </c>
      <c r="AA2403" s="22">
        <v>152319410</v>
      </c>
      <c r="AB2403" s="19">
        <f>AA2403/K2403*100</f>
        <v>89.599652941176473</v>
      </c>
      <c r="AC2403" s="22">
        <v>113773766</v>
      </c>
      <c r="AD2403" s="19">
        <f>AC2403/K2403*100</f>
        <v>66.925744705882352</v>
      </c>
    </row>
    <row r="2404" spans="1:40" ht="20.25" customHeight="1">
      <c r="B2404" s="13">
        <f t="shared" ref="B2404:B2442" si="787">B2403+1</f>
        <v>2</v>
      </c>
      <c r="C2404" s="74" t="s">
        <v>564</v>
      </c>
      <c r="D2404" s="74" t="s">
        <v>1365</v>
      </c>
      <c r="E2404" s="204"/>
      <c r="F2404" s="204"/>
      <c r="G2404" s="193"/>
      <c r="H2404" s="89"/>
      <c r="I2404" s="89"/>
      <c r="J2404" s="15">
        <v>35000000</v>
      </c>
      <c r="K2404" s="15">
        <v>35000000</v>
      </c>
      <c r="L2404" s="13"/>
      <c r="M2404" s="17"/>
      <c r="N2404" s="17"/>
      <c r="O2404" s="17"/>
      <c r="P2404" s="17"/>
      <c r="Q2404" s="17"/>
      <c r="R2404" s="17"/>
      <c r="S2404" s="17"/>
      <c r="T2404" s="17"/>
      <c r="U2404" s="17"/>
      <c r="V2404" s="17"/>
      <c r="W2404" s="17"/>
      <c r="X2404" s="17"/>
      <c r="Y2404" s="53">
        <v>100</v>
      </c>
      <c r="Z2404" s="53">
        <v>100</v>
      </c>
      <c r="AA2404" s="22">
        <v>34974600</v>
      </c>
      <c r="AB2404" s="19">
        <f t="shared" ref="AB2404:AB2409" si="788">AA2404/K2404*100</f>
        <v>99.927428571428564</v>
      </c>
      <c r="AC2404" s="22">
        <v>20523000</v>
      </c>
      <c r="AD2404" s="19">
        <f t="shared" ref="AD2404:AD2409" si="789">AC2404/K2404*100</f>
        <v>58.637142857142855</v>
      </c>
    </row>
    <row r="2405" spans="1:40" ht="15.75" customHeight="1">
      <c r="B2405" s="13">
        <f t="shared" si="787"/>
        <v>3</v>
      </c>
      <c r="C2405" s="74" t="s">
        <v>664</v>
      </c>
      <c r="D2405" s="74" t="s">
        <v>1366</v>
      </c>
      <c r="E2405" s="204"/>
      <c r="F2405" s="204"/>
      <c r="G2405" s="193"/>
      <c r="H2405" s="89"/>
      <c r="I2405" s="89"/>
      <c r="J2405" s="15">
        <v>15000000</v>
      </c>
      <c r="K2405" s="15">
        <v>15000000</v>
      </c>
      <c r="L2405" s="13"/>
      <c r="M2405" s="17"/>
      <c r="N2405" s="17"/>
      <c r="O2405" s="17"/>
      <c r="P2405" s="17"/>
      <c r="Q2405" s="17"/>
      <c r="R2405" s="17"/>
      <c r="S2405" s="17"/>
      <c r="T2405" s="17"/>
      <c r="U2405" s="17"/>
      <c r="V2405" s="17"/>
      <c r="W2405" s="17"/>
      <c r="X2405" s="17"/>
      <c r="Y2405" s="53">
        <v>100</v>
      </c>
      <c r="Z2405" s="53">
        <v>100</v>
      </c>
      <c r="AA2405" s="22">
        <v>14763500</v>
      </c>
      <c r="AB2405" s="19">
        <f t="shared" si="788"/>
        <v>98.423333333333332</v>
      </c>
      <c r="AC2405" s="22">
        <f t="shared" ref="AC2405:AC2412" si="790">AA2405</f>
        <v>14763500</v>
      </c>
      <c r="AD2405" s="19">
        <f t="shared" si="789"/>
        <v>98.423333333333332</v>
      </c>
    </row>
    <row r="2406" spans="1:40" ht="18.75" customHeight="1">
      <c r="B2406" s="13">
        <f t="shared" si="787"/>
        <v>4</v>
      </c>
      <c r="C2406" s="74" t="s">
        <v>666</v>
      </c>
      <c r="D2406" s="74" t="s">
        <v>1367</v>
      </c>
      <c r="E2406" s="204"/>
      <c r="F2406" s="204"/>
      <c r="G2406" s="193"/>
      <c r="H2406" s="89"/>
      <c r="I2406" s="89"/>
      <c r="J2406" s="15">
        <v>15000000</v>
      </c>
      <c r="K2406" s="15">
        <v>15000000</v>
      </c>
      <c r="L2406" s="13"/>
      <c r="M2406" s="17"/>
      <c r="N2406" s="17"/>
      <c r="O2406" s="17"/>
      <c r="P2406" s="17"/>
      <c r="Q2406" s="17"/>
      <c r="R2406" s="17"/>
      <c r="S2406" s="17"/>
      <c r="T2406" s="17"/>
      <c r="U2406" s="17"/>
      <c r="V2406" s="17"/>
      <c r="W2406" s="17"/>
      <c r="X2406" s="17"/>
      <c r="Y2406" s="53">
        <v>100</v>
      </c>
      <c r="Z2406" s="53">
        <v>100</v>
      </c>
      <c r="AA2406" s="22">
        <v>14827500</v>
      </c>
      <c r="AB2406" s="19">
        <f t="shared" si="788"/>
        <v>98.850000000000009</v>
      </c>
      <c r="AC2406" s="22">
        <v>6948000</v>
      </c>
      <c r="AD2406" s="19">
        <f t="shared" si="789"/>
        <v>46.32</v>
      </c>
      <c r="AJ2406" s="71"/>
      <c r="AK2406" s="71"/>
    </row>
    <row r="2407" spans="1:40">
      <c r="B2407" s="13">
        <f t="shared" si="787"/>
        <v>5</v>
      </c>
      <c r="C2407" s="74" t="s">
        <v>602</v>
      </c>
      <c r="D2407" s="21" t="s">
        <v>1368</v>
      </c>
      <c r="E2407" s="204"/>
      <c r="F2407" s="204"/>
      <c r="G2407" s="193"/>
      <c r="H2407" s="89"/>
      <c r="I2407" s="89"/>
      <c r="J2407" s="15">
        <v>30000000</v>
      </c>
      <c r="K2407" s="15">
        <v>30000000</v>
      </c>
      <c r="L2407" s="13"/>
      <c r="M2407" s="17"/>
      <c r="N2407" s="17"/>
      <c r="O2407" s="17"/>
      <c r="P2407" s="17"/>
      <c r="Q2407" s="17"/>
      <c r="R2407" s="17"/>
      <c r="S2407" s="17"/>
      <c r="T2407" s="17"/>
      <c r="U2407" s="17"/>
      <c r="V2407" s="17"/>
      <c r="W2407" s="17"/>
      <c r="X2407" s="17"/>
      <c r="Y2407" s="53">
        <v>100</v>
      </c>
      <c r="Z2407" s="53">
        <v>100</v>
      </c>
      <c r="AA2407" s="22">
        <v>30000000</v>
      </c>
      <c r="AB2407" s="19">
        <f t="shared" si="788"/>
        <v>100</v>
      </c>
      <c r="AC2407" s="22">
        <v>23168000</v>
      </c>
      <c r="AD2407" s="19">
        <f t="shared" si="789"/>
        <v>77.226666666666659</v>
      </c>
      <c r="AL2407" s="71"/>
    </row>
    <row r="2408" spans="1:40">
      <c r="B2408" s="13">
        <f t="shared" si="787"/>
        <v>6</v>
      </c>
      <c r="C2408" s="74" t="s">
        <v>604</v>
      </c>
      <c r="D2408" s="21" t="s">
        <v>1369</v>
      </c>
      <c r="E2408" s="204"/>
      <c r="F2408" s="204"/>
      <c r="G2408" s="193"/>
      <c r="H2408" s="89"/>
      <c r="I2408" s="89"/>
      <c r="J2408" s="15">
        <v>130000000</v>
      </c>
      <c r="K2408" s="15">
        <v>130000000</v>
      </c>
      <c r="L2408" s="13"/>
      <c r="M2408" s="17"/>
      <c r="N2408" s="17"/>
      <c r="O2408" s="17"/>
      <c r="P2408" s="17"/>
      <c r="Q2408" s="17"/>
      <c r="R2408" s="17"/>
      <c r="S2408" s="17"/>
      <c r="T2408" s="17"/>
      <c r="U2408" s="17"/>
      <c r="V2408" s="17"/>
      <c r="W2408" s="17"/>
      <c r="X2408" s="17"/>
      <c r="Y2408" s="53">
        <v>100</v>
      </c>
      <c r="Z2408" s="53">
        <v>100</v>
      </c>
      <c r="AA2408" s="22">
        <v>128564729</v>
      </c>
      <c r="AB2408" s="19">
        <f t="shared" si="788"/>
        <v>98.895945384615374</v>
      </c>
      <c r="AC2408" s="22">
        <f>AA2408</f>
        <v>128564729</v>
      </c>
      <c r="AD2408" s="19">
        <f t="shared" si="789"/>
        <v>98.895945384615374</v>
      </c>
      <c r="AM2408" s="71"/>
      <c r="AN2408" s="71"/>
    </row>
    <row r="2409" spans="1:40" ht="25.5">
      <c r="B2409" s="13">
        <f t="shared" si="787"/>
        <v>7</v>
      </c>
      <c r="C2409" s="74" t="s">
        <v>578</v>
      </c>
      <c r="D2409" s="21" t="s">
        <v>1370</v>
      </c>
      <c r="E2409" s="485"/>
      <c r="F2409" s="485"/>
      <c r="G2409" s="441"/>
      <c r="H2409" s="87"/>
      <c r="I2409" s="87"/>
      <c r="J2409" s="15">
        <v>431250000</v>
      </c>
      <c r="K2409" s="15">
        <v>431250000</v>
      </c>
      <c r="L2409" s="153"/>
      <c r="M2409" s="128"/>
      <c r="N2409" s="128"/>
      <c r="O2409" s="128"/>
      <c r="P2409" s="128"/>
      <c r="Q2409" s="128"/>
      <c r="R2409" s="128"/>
      <c r="S2409" s="128"/>
      <c r="T2409" s="128"/>
      <c r="U2409" s="128"/>
      <c r="V2409" s="128"/>
      <c r="W2409" s="128"/>
      <c r="X2409" s="128"/>
      <c r="Y2409" s="53">
        <v>100</v>
      </c>
      <c r="Z2409" s="53">
        <v>100</v>
      </c>
      <c r="AA2409" s="259">
        <v>379607000</v>
      </c>
      <c r="AB2409" s="19">
        <f t="shared" si="788"/>
        <v>88.024811594202902</v>
      </c>
      <c r="AC2409" s="22">
        <f>AA2409</f>
        <v>379607000</v>
      </c>
      <c r="AD2409" s="19">
        <f t="shared" si="789"/>
        <v>88.024811594202902</v>
      </c>
    </row>
    <row r="2410" spans="1:40">
      <c r="B2410" s="13"/>
      <c r="C2410" s="74"/>
      <c r="D2410" s="664" t="s">
        <v>2094</v>
      </c>
      <c r="E2410" s="485"/>
      <c r="F2410" s="485"/>
      <c r="G2410" s="441"/>
      <c r="H2410" s="87"/>
      <c r="I2410" s="87"/>
      <c r="J2410" s="15"/>
      <c r="K2410" s="666"/>
      <c r="L2410" s="153"/>
      <c r="M2410" s="128"/>
      <c r="N2410" s="128"/>
      <c r="O2410" s="128"/>
      <c r="P2410" s="128"/>
      <c r="Q2410" s="128"/>
      <c r="R2410" s="128"/>
      <c r="S2410" s="128"/>
      <c r="T2410" s="128"/>
      <c r="U2410" s="128"/>
      <c r="V2410" s="128"/>
      <c r="W2410" s="128"/>
      <c r="X2410" s="128"/>
      <c r="Y2410" s="53"/>
      <c r="Z2410" s="53"/>
      <c r="AA2410" s="259"/>
      <c r="AB2410" s="19"/>
      <c r="AC2410" s="22"/>
      <c r="AD2410" s="19"/>
    </row>
    <row r="2411" spans="1:40">
      <c r="B2411" s="13"/>
      <c r="C2411" s="74"/>
      <c r="D2411" s="664" t="s">
        <v>2095</v>
      </c>
      <c r="E2411" s="485"/>
      <c r="F2411" s="485"/>
      <c r="G2411" s="441"/>
      <c r="H2411" s="87"/>
      <c r="I2411" s="87"/>
      <c r="J2411" s="15"/>
      <c r="K2411" s="666"/>
      <c r="L2411" s="153"/>
      <c r="M2411" s="128"/>
      <c r="N2411" s="128"/>
      <c r="O2411" s="128"/>
      <c r="P2411" s="128"/>
      <c r="Q2411" s="128"/>
      <c r="R2411" s="128"/>
      <c r="S2411" s="128"/>
      <c r="T2411" s="128"/>
      <c r="U2411" s="128"/>
      <c r="V2411" s="128"/>
      <c r="W2411" s="128"/>
      <c r="X2411" s="128"/>
      <c r="Y2411" s="53"/>
      <c r="Z2411" s="53"/>
      <c r="AA2411" s="259"/>
      <c r="AB2411" s="19"/>
      <c r="AC2411" s="22"/>
      <c r="AD2411" s="19"/>
    </row>
    <row r="2412" spans="1:40" ht="17.25" customHeight="1">
      <c r="B2412" s="13">
        <f>B2409+1</f>
        <v>8</v>
      </c>
      <c r="C2412" s="174">
        <v>15.012</v>
      </c>
      <c r="D2412" s="21" t="s">
        <v>1371</v>
      </c>
      <c r="E2412" s="204"/>
      <c r="F2412" s="204"/>
      <c r="G2412" s="193"/>
      <c r="H2412" s="89"/>
      <c r="I2412" s="89"/>
      <c r="J2412" s="15">
        <v>113601000</v>
      </c>
      <c r="K2412" s="15">
        <v>113601000</v>
      </c>
      <c r="L2412" s="13"/>
      <c r="M2412" s="456"/>
      <c r="N2412" s="17"/>
      <c r="O2412" s="17"/>
      <c r="P2412" s="457"/>
      <c r="Q2412" s="17"/>
      <c r="R2412" s="17"/>
      <c r="S2412" s="17"/>
      <c r="T2412" s="17"/>
      <c r="U2412" s="17"/>
      <c r="V2412" s="17"/>
      <c r="W2412" s="17"/>
      <c r="X2412" s="17"/>
      <c r="Y2412" s="53">
        <v>100</v>
      </c>
      <c r="Z2412" s="53">
        <v>100</v>
      </c>
      <c r="AA2412" s="260">
        <v>88583000</v>
      </c>
      <c r="AB2412" s="19">
        <f>AA2412/K2412*100</f>
        <v>77.977306537794561</v>
      </c>
      <c r="AC2412" s="22">
        <f t="shared" si="790"/>
        <v>88583000</v>
      </c>
      <c r="AD2412" s="19">
        <f>AC2412/K2412*100</f>
        <v>77.977306537794561</v>
      </c>
    </row>
    <row r="2413" spans="1:40">
      <c r="B2413" s="13">
        <f t="shared" si="787"/>
        <v>9</v>
      </c>
      <c r="C2413" s="174">
        <v>15.013</v>
      </c>
      <c r="D2413" s="21" t="s">
        <v>1372</v>
      </c>
      <c r="E2413" s="204"/>
      <c r="F2413" s="204"/>
      <c r="G2413" s="193"/>
      <c r="H2413" s="89"/>
      <c r="I2413" s="89"/>
      <c r="J2413" s="15">
        <v>25000000</v>
      </c>
      <c r="K2413" s="15">
        <v>25000000</v>
      </c>
      <c r="L2413" s="13"/>
      <c r="M2413" s="456"/>
      <c r="N2413" s="17"/>
      <c r="O2413" s="17"/>
      <c r="P2413" s="457"/>
      <c r="Q2413" s="17"/>
      <c r="R2413" s="17"/>
      <c r="S2413" s="17"/>
      <c r="T2413" s="17"/>
      <c r="U2413" s="17"/>
      <c r="V2413" s="17"/>
      <c r="W2413" s="17"/>
      <c r="X2413" s="17"/>
      <c r="Y2413" s="53">
        <v>100</v>
      </c>
      <c r="Z2413" s="53">
        <v>100</v>
      </c>
      <c r="AA2413" s="260">
        <v>24999600</v>
      </c>
      <c r="AB2413" s="19">
        <f t="shared" ref="AB2413:AB2415" si="791">AA2413/K2413*100</f>
        <v>99.998400000000004</v>
      </c>
      <c r="AC2413" s="22">
        <v>10690000</v>
      </c>
      <c r="AD2413" s="19">
        <f t="shared" ref="AD2413:AD2415" si="792">AC2413/K2413*100</f>
        <v>42.76</v>
      </c>
    </row>
    <row r="2414" spans="1:40" ht="25.5">
      <c r="B2414" s="13">
        <f>B2413+1</f>
        <v>10</v>
      </c>
      <c r="C2414" s="174">
        <v>15.013999999999999</v>
      </c>
      <c r="D2414" s="21" t="s">
        <v>1373</v>
      </c>
      <c r="E2414" s="204"/>
      <c r="F2414" s="204"/>
      <c r="G2414" s="193"/>
      <c r="H2414" s="89"/>
      <c r="I2414" s="89"/>
      <c r="J2414" s="15">
        <v>75233000</v>
      </c>
      <c r="K2414" s="15">
        <v>75233000</v>
      </c>
      <c r="L2414" s="13"/>
      <c r="M2414" s="456"/>
      <c r="N2414" s="17"/>
      <c r="O2414" s="17"/>
      <c r="P2414" s="457"/>
      <c r="Q2414" s="17"/>
      <c r="R2414" s="17"/>
      <c r="S2414" s="17"/>
      <c r="T2414" s="17"/>
      <c r="U2414" s="17"/>
      <c r="V2414" s="17"/>
      <c r="W2414" s="17"/>
      <c r="X2414" s="17"/>
      <c r="Y2414" s="53">
        <v>100</v>
      </c>
      <c r="Z2414" s="53">
        <v>100</v>
      </c>
      <c r="AA2414" s="260">
        <v>75172400</v>
      </c>
      <c r="AB2414" s="19">
        <f t="shared" si="791"/>
        <v>99.919450241250516</v>
      </c>
      <c r="AC2414" s="22">
        <f>AA2414</f>
        <v>75172400</v>
      </c>
      <c r="AD2414" s="19">
        <f t="shared" si="792"/>
        <v>99.919450241250516</v>
      </c>
    </row>
    <row r="2415" spans="1:40">
      <c r="B2415" s="13">
        <f t="shared" si="787"/>
        <v>11</v>
      </c>
      <c r="C2415" s="174">
        <v>15.015000000000001</v>
      </c>
      <c r="D2415" s="21" t="s">
        <v>1374</v>
      </c>
      <c r="E2415" s="204"/>
      <c r="F2415" s="204"/>
      <c r="G2415" s="193"/>
      <c r="H2415" s="89"/>
      <c r="I2415" s="89"/>
      <c r="J2415" s="15">
        <v>100000000</v>
      </c>
      <c r="K2415" s="15">
        <v>100000000</v>
      </c>
      <c r="L2415" s="13"/>
      <c r="M2415" s="456"/>
      <c r="N2415" s="17"/>
      <c r="O2415" s="17"/>
      <c r="P2415" s="457"/>
      <c r="Q2415" s="17"/>
      <c r="R2415" s="17"/>
      <c r="S2415" s="17"/>
      <c r="T2415" s="17"/>
      <c r="U2415" s="17"/>
      <c r="V2415" s="17"/>
      <c r="W2415" s="17"/>
      <c r="X2415" s="17"/>
      <c r="Y2415" s="53">
        <v>100</v>
      </c>
      <c r="Z2415" s="53">
        <v>100</v>
      </c>
      <c r="AA2415" s="260">
        <v>99985000</v>
      </c>
      <c r="AB2415" s="19">
        <f t="shared" si="791"/>
        <v>99.984999999999999</v>
      </c>
      <c r="AC2415" s="22">
        <f>AA2415</f>
        <v>99985000</v>
      </c>
      <c r="AD2415" s="19">
        <f t="shared" si="792"/>
        <v>99.984999999999999</v>
      </c>
    </row>
    <row r="2416" spans="1:40" s="105" customFormat="1">
      <c r="A2416" s="627"/>
      <c r="B2416" s="628"/>
      <c r="C2416" s="795"/>
      <c r="D2416" s="470"/>
      <c r="E2416" s="186"/>
      <c r="F2416" s="186"/>
      <c r="G2416" s="186"/>
      <c r="H2416" s="186"/>
      <c r="I2416" s="186"/>
      <c r="J2416" s="629"/>
      <c r="K2416" s="629"/>
      <c r="L2416" s="628"/>
      <c r="M2416" s="796"/>
      <c r="N2416" s="186"/>
      <c r="O2416" s="186"/>
      <c r="P2416" s="797"/>
      <c r="Q2416" s="186"/>
      <c r="R2416" s="186"/>
      <c r="S2416" s="186"/>
      <c r="T2416" s="186"/>
      <c r="U2416" s="186"/>
      <c r="V2416" s="186"/>
      <c r="W2416" s="186"/>
      <c r="X2416" s="186"/>
      <c r="Y2416" s="798"/>
      <c r="Z2416" s="798"/>
      <c r="AA2416" s="799"/>
      <c r="AB2416" s="630"/>
      <c r="AC2416" s="615"/>
      <c r="AD2416" s="630"/>
    </row>
    <row r="2417" spans="2:30" ht="27">
      <c r="B2417" s="66"/>
      <c r="C2417" s="120" t="s">
        <v>1289</v>
      </c>
      <c r="D2417" s="120" t="s">
        <v>26</v>
      </c>
      <c r="E2417" s="487"/>
      <c r="F2417" s="487"/>
      <c r="G2417" s="474"/>
      <c r="H2417" s="255"/>
      <c r="I2417" s="255"/>
      <c r="J2417" s="256"/>
      <c r="K2417" s="256"/>
      <c r="L2417" s="66"/>
      <c r="M2417" s="63"/>
      <c r="N2417" s="63"/>
      <c r="O2417" s="63"/>
      <c r="P2417" s="63"/>
      <c r="Q2417" s="63"/>
      <c r="R2417" s="63"/>
      <c r="S2417" s="63"/>
      <c r="T2417" s="63"/>
      <c r="U2417" s="63"/>
      <c r="V2417" s="63"/>
      <c r="W2417" s="63"/>
      <c r="X2417" s="63"/>
      <c r="Y2417" s="794"/>
      <c r="Z2417" s="794"/>
      <c r="AA2417" s="135"/>
      <c r="AB2417" s="134"/>
      <c r="AC2417" s="135"/>
      <c r="AD2417" s="134"/>
    </row>
    <row r="2418" spans="2:30">
      <c r="B2418" s="13">
        <f>B2415+1</f>
        <v>12</v>
      </c>
      <c r="C2418" s="74" t="s">
        <v>203</v>
      </c>
      <c r="D2418" s="21" t="s">
        <v>28</v>
      </c>
      <c r="E2418" s="204"/>
      <c r="F2418" s="204"/>
      <c r="G2418" s="193"/>
      <c r="H2418" s="89"/>
      <c r="I2418" s="89"/>
      <c r="J2418" s="15">
        <v>166000000</v>
      </c>
      <c r="K2418" s="25">
        <v>596000000</v>
      </c>
      <c r="L2418" s="13"/>
      <c r="M2418" s="17"/>
      <c r="N2418" s="17"/>
      <c r="O2418" s="17"/>
      <c r="P2418" s="17"/>
      <c r="Q2418" s="17"/>
      <c r="R2418" s="17"/>
      <c r="S2418" s="17"/>
      <c r="T2418" s="17"/>
      <c r="U2418" s="17"/>
      <c r="V2418" s="17"/>
      <c r="W2418" s="17"/>
      <c r="X2418" s="17"/>
      <c r="Y2418" s="53">
        <v>100</v>
      </c>
      <c r="Z2418" s="53">
        <v>100</v>
      </c>
      <c r="AA2418" s="22">
        <v>486505934</v>
      </c>
      <c r="AB2418" s="19">
        <f>AA2418/K2418*100</f>
        <v>81.628512416107384</v>
      </c>
      <c r="AC2418" s="22">
        <f>AA2418</f>
        <v>486505934</v>
      </c>
      <c r="AD2418" s="19">
        <f>AC2418/K2418*100</f>
        <v>81.628512416107384</v>
      </c>
    </row>
    <row r="2419" spans="2:30">
      <c r="B2419" s="13">
        <f t="shared" si="787"/>
        <v>13</v>
      </c>
      <c r="C2419" s="74" t="s">
        <v>210</v>
      </c>
      <c r="D2419" s="21" t="s">
        <v>30</v>
      </c>
      <c r="E2419" s="204"/>
      <c r="F2419" s="204"/>
      <c r="G2419" s="193"/>
      <c r="H2419" s="89"/>
      <c r="I2419" s="89"/>
      <c r="J2419" s="15">
        <v>145000000</v>
      </c>
      <c r="K2419" s="15">
        <v>145000000</v>
      </c>
      <c r="L2419" s="13"/>
      <c r="M2419" s="17"/>
      <c r="N2419" s="17"/>
      <c r="O2419" s="17"/>
      <c r="P2419" s="17"/>
      <c r="Q2419" s="17"/>
      <c r="R2419" s="17"/>
      <c r="S2419" s="17"/>
      <c r="T2419" s="17"/>
      <c r="U2419" s="17"/>
      <c r="V2419" s="17"/>
      <c r="W2419" s="17"/>
      <c r="X2419" s="17"/>
      <c r="Y2419" s="53">
        <v>100</v>
      </c>
      <c r="Z2419" s="53">
        <v>100</v>
      </c>
      <c r="AA2419" s="22">
        <v>144634958</v>
      </c>
      <c r="AB2419" s="19">
        <f t="shared" ref="AB2419:AB2426" si="793">AA2419/K2419*100</f>
        <v>99.748246896551734</v>
      </c>
      <c r="AC2419" s="22">
        <f t="shared" ref="AC2419:AC2420" si="794">AA2419</f>
        <v>144634958</v>
      </c>
      <c r="AD2419" s="19">
        <f t="shared" ref="AD2419:AD2424" si="795">AC2419/K2419*100</f>
        <v>99.748246896551734</v>
      </c>
    </row>
    <row r="2420" spans="2:30">
      <c r="B2420" s="13">
        <f t="shared" si="787"/>
        <v>14</v>
      </c>
      <c r="C2420" s="74" t="s">
        <v>204</v>
      </c>
      <c r="D2420" s="21" t="s">
        <v>32</v>
      </c>
      <c r="E2420" s="204"/>
      <c r="F2420" s="204"/>
      <c r="G2420" s="193"/>
      <c r="H2420" s="89"/>
      <c r="I2420" s="89"/>
      <c r="J2420" s="15">
        <v>255000000</v>
      </c>
      <c r="K2420" s="15">
        <v>255000000</v>
      </c>
      <c r="L2420" s="13"/>
      <c r="M2420" s="17"/>
      <c r="N2420" s="17"/>
      <c r="O2420" s="17"/>
      <c r="P2420" s="17"/>
      <c r="Q2420" s="17"/>
      <c r="R2420" s="17"/>
      <c r="S2420" s="17"/>
      <c r="T2420" s="17"/>
      <c r="U2420" s="17"/>
      <c r="V2420" s="17"/>
      <c r="W2420" s="17"/>
      <c r="X2420" s="17"/>
      <c r="Y2420" s="53">
        <v>100</v>
      </c>
      <c r="Z2420" s="53">
        <v>100</v>
      </c>
      <c r="AA2420" s="22">
        <v>173629325</v>
      </c>
      <c r="AB2420" s="19">
        <f t="shared" si="793"/>
        <v>68.089931372549017</v>
      </c>
      <c r="AC2420" s="22">
        <f t="shared" si="794"/>
        <v>173629325</v>
      </c>
      <c r="AD2420" s="19">
        <f t="shared" si="795"/>
        <v>68.089931372549017</v>
      </c>
    </row>
    <row r="2421" spans="2:30">
      <c r="B2421" s="13">
        <f t="shared" si="787"/>
        <v>15</v>
      </c>
      <c r="C2421" s="74" t="s">
        <v>205</v>
      </c>
      <c r="D2421" s="21" t="s">
        <v>34</v>
      </c>
      <c r="E2421" s="204"/>
      <c r="F2421" s="204"/>
      <c r="G2421" s="193"/>
      <c r="H2421" s="89"/>
      <c r="I2421" s="89"/>
      <c r="J2421" s="15">
        <v>85000000</v>
      </c>
      <c r="K2421" s="25">
        <v>174500000</v>
      </c>
      <c r="L2421" s="57"/>
      <c r="M2421" s="25"/>
      <c r="N2421" s="49"/>
      <c r="O2421" s="401"/>
      <c r="P2421" s="401"/>
      <c r="Q2421" s="18"/>
      <c r="R2421" s="18"/>
      <c r="S2421" s="18"/>
      <c r="T2421" s="18"/>
      <c r="U2421" s="18"/>
      <c r="V2421" s="18"/>
      <c r="W2421" s="18"/>
      <c r="X2421" s="18"/>
      <c r="Y2421" s="53">
        <v>100</v>
      </c>
      <c r="Z2421" s="53">
        <v>100</v>
      </c>
      <c r="AA2421" s="22">
        <v>168150000</v>
      </c>
      <c r="AB2421" s="19">
        <f t="shared" si="793"/>
        <v>96.361031518624642</v>
      </c>
      <c r="AC2421" s="22">
        <f t="shared" ref="AC2421:AC2444" si="796">AA2421</f>
        <v>168150000</v>
      </c>
      <c r="AD2421" s="19">
        <f t="shared" si="795"/>
        <v>96.361031518624642</v>
      </c>
    </row>
    <row r="2422" spans="2:30">
      <c r="B2422" s="13">
        <f t="shared" si="787"/>
        <v>16</v>
      </c>
      <c r="C2422" s="74" t="s">
        <v>215</v>
      </c>
      <c r="D2422" s="21" t="s">
        <v>36</v>
      </c>
      <c r="E2422" s="204"/>
      <c r="F2422" s="204"/>
      <c r="G2422" s="193"/>
      <c r="H2422" s="89"/>
      <c r="I2422" s="89"/>
      <c r="J2422" s="15">
        <v>25000000</v>
      </c>
      <c r="K2422" s="25">
        <v>25000000</v>
      </c>
      <c r="L2422" s="57"/>
      <c r="M2422" s="25"/>
      <c r="N2422" s="49"/>
      <c r="O2422" s="407"/>
      <c r="P2422" s="407"/>
      <c r="Q2422" s="18"/>
      <c r="R2422" s="18"/>
      <c r="S2422" s="18"/>
      <c r="T2422" s="18"/>
      <c r="U2422" s="18"/>
      <c r="V2422" s="18"/>
      <c r="W2422" s="18"/>
      <c r="X2422" s="18"/>
      <c r="Y2422" s="53">
        <v>100</v>
      </c>
      <c r="Z2422" s="53">
        <v>100</v>
      </c>
      <c r="AA2422" s="22">
        <v>24956200</v>
      </c>
      <c r="AB2422" s="19">
        <f t="shared" si="793"/>
        <v>99.824799999999996</v>
      </c>
      <c r="AC2422" s="22">
        <v>24761200</v>
      </c>
      <c r="AD2422" s="19">
        <f t="shared" si="795"/>
        <v>99.044799999999995</v>
      </c>
    </row>
    <row r="2423" spans="2:30" ht="25.5">
      <c r="B2423" s="13">
        <f t="shared" si="787"/>
        <v>17</v>
      </c>
      <c r="C2423" s="74" t="s">
        <v>216</v>
      </c>
      <c r="D2423" s="21" t="s">
        <v>38</v>
      </c>
      <c r="E2423" s="204"/>
      <c r="F2423" s="204"/>
      <c r="G2423" s="193"/>
      <c r="H2423" s="89"/>
      <c r="I2423" s="89"/>
      <c r="J2423" s="15">
        <v>10000000</v>
      </c>
      <c r="K2423" s="25">
        <v>10000000</v>
      </c>
      <c r="L2423" s="57"/>
      <c r="M2423" s="25"/>
      <c r="N2423" s="49"/>
      <c r="O2423" s="407"/>
      <c r="P2423" s="407"/>
      <c r="Q2423" s="18"/>
      <c r="R2423" s="18"/>
      <c r="S2423" s="18"/>
      <c r="T2423" s="18"/>
      <c r="U2423" s="18"/>
      <c r="V2423" s="18"/>
      <c r="W2423" s="18"/>
      <c r="X2423" s="18"/>
      <c r="Y2423" s="53">
        <v>100</v>
      </c>
      <c r="Z2423" s="53">
        <v>100</v>
      </c>
      <c r="AA2423" s="22">
        <v>8670000</v>
      </c>
      <c r="AB2423" s="19">
        <f t="shared" si="793"/>
        <v>86.7</v>
      </c>
      <c r="AC2423" s="22">
        <v>6990000</v>
      </c>
      <c r="AD2423" s="19">
        <f t="shared" si="795"/>
        <v>69.899999999999991</v>
      </c>
    </row>
    <row r="2424" spans="2:30">
      <c r="B2424" s="13">
        <f t="shared" si="787"/>
        <v>18</v>
      </c>
      <c r="C2424" s="123" t="s">
        <v>1375</v>
      </c>
      <c r="D2424" s="21" t="s">
        <v>1376</v>
      </c>
      <c r="E2424" s="204"/>
      <c r="F2424" s="204"/>
      <c r="G2424" s="193"/>
      <c r="H2424" s="89"/>
      <c r="I2424" s="89"/>
      <c r="J2424" s="15">
        <v>250000000</v>
      </c>
      <c r="K2424" s="15">
        <v>250000000</v>
      </c>
      <c r="L2424" s="57"/>
      <c r="M2424" s="25"/>
      <c r="N2424" s="49"/>
      <c r="O2424" s="407"/>
      <c r="P2424" s="407"/>
      <c r="Q2424" s="18"/>
      <c r="R2424" s="18"/>
      <c r="S2424" s="18"/>
      <c r="T2424" s="18"/>
      <c r="U2424" s="18"/>
      <c r="V2424" s="18"/>
      <c r="W2424" s="18"/>
      <c r="X2424" s="18"/>
      <c r="Y2424" s="53">
        <v>100</v>
      </c>
      <c r="Z2424" s="53">
        <v>100</v>
      </c>
      <c r="AA2424" s="22">
        <v>249847250</v>
      </c>
      <c r="AB2424" s="19">
        <f t="shared" si="793"/>
        <v>99.938900000000004</v>
      </c>
      <c r="AC2424" s="22">
        <v>59007750</v>
      </c>
      <c r="AD2424" s="19">
        <f t="shared" si="795"/>
        <v>23.603099999999998</v>
      </c>
    </row>
    <row r="2425" spans="2:30" ht="27">
      <c r="B2425" s="13"/>
      <c r="C2425" s="86" t="s">
        <v>1377</v>
      </c>
      <c r="D2425" s="86" t="s">
        <v>1378</v>
      </c>
      <c r="E2425" s="485"/>
      <c r="F2425" s="485"/>
      <c r="G2425" s="441"/>
      <c r="H2425" s="87"/>
      <c r="I2425" s="87"/>
      <c r="J2425" s="88"/>
      <c r="K2425" s="88"/>
      <c r="L2425" s="57"/>
      <c r="M2425" s="25"/>
      <c r="N2425" s="49"/>
      <c r="O2425" s="407"/>
      <c r="P2425" s="407"/>
      <c r="Q2425" s="18"/>
      <c r="R2425" s="18"/>
      <c r="S2425" s="18"/>
      <c r="T2425" s="18"/>
      <c r="U2425" s="18"/>
      <c r="V2425" s="18"/>
      <c r="W2425" s="18"/>
      <c r="X2425" s="18"/>
      <c r="Y2425" s="53"/>
      <c r="Z2425" s="53"/>
      <c r="AA2425" s="22"/>
      <c r="AB2425" s="19"/>
      <c r="AC2425" s="22"/>
      <c r="AD2425" s="19"/>
    </row>
    <row r="2426" spans="2:30" ht="25.5">
      <c r="B2426" s="13">
        <f>B2424+1</f>
        <v>19</v>
      </c>
      <c r="C2426" s="74" t="s">
        <v>251</v>
      </c>
      <c r="D2426" s="21" t="s">
        <v>1379</v>
      </c>
      <c r="E2426" s="485"/>
      <c r="F2426" s="485"/>
      <c r="G2426" s="441"/>
      <c r="H2426" s="87"/>
      <c r="I2426" s="87"/>
      <c r="J2426" s="15">
        <v>1574877000</v>
      </c>
      <c r="K2426" s="15">
        <v>1574877000</v>
      </c>
      <c r="L2426" s="48"/>
      <c r="M2426" s="16"/>
      <c r="N2426" s="210"/>
      <c r="O2426" s="458"/>
      <c r="P2426" s="458"/>
      <c r="Q2426" s="151"/>
      <c r="R2426" s="151"/>
      <c r="S2426" s="151"/>
      <c r="T2426" s="151"/>
      <c r="U2426" s="151"/>
      <c r="V2426" s="151"/>
      <c r="W2426" s="151"/>
      <c r="X2426" s="151"/>
      <c r="Y2426" s="53">
        <v>100</v>
      </c>
      <c r="Z2426" s="53">
        <v>100</v>
      </c>
      <c r="AA2426" s="259">
        <v>1568490000</v>
      </c>
      <c r="AB2426" s="19">
        <f t="shared" si="793"/>
        <v>99.594444518524313</v>
      </c>
      <c r="AC2426" s="22">
        <f>AA2426</f>
        <v>1568490000</v>
      </c>
      <c r="AD2426" s="19">
        <f>AC2426/K2426*100</f>
        <v>99.594444518524313</v>
      </c>
    </row>
    <row r="2427" spans="2:30">
      <c r="B2427" s="13"/>
      <c r="C2427" s="74"/>
      <c r="D2427" s="664" t="s">
        <v>2092</v>
      </c>
      <c r="E2427" s="485"/>
      <c r="F2427" s="485"/>
      <c r="G2427" s="441"/>
      <c r="H2427" s="87"/>
      <c r="I2427" s="87"/>
      <c r="J2427" s="15"/>
      <c r="K2427" s="41"/>
      <c r="L2427" s="48"/>
      <c r="M2427" s="16"/>
      <c r="N2427" s="210"/>
      <c r="O2427" s="458"/>
      <c r="P2427" s="458"/>
      <c r="Q2427" s="151"/>
      <c r="R2427" s="151"/>
      <c r="S2427" s="151"/>
      <c r="T2427" s="151"/>
      <c r="U2427" s="151"/>
      <c r="V2427" s="151"/>
      <c r="W2427" s="151"/>
      <c r="X2427" s="151"/>
      <c r="Y2427" s="53"/>
      <c r="Z2427" s="53"/>
      <c r="AA2427" s="259"/>
      <c r="AB2427" s="19"/>
      <c r="AC2427" s="22"/>
      <c r="AD2427" s="147"/>
    </row>
    <row r="2428" spans="2:30">
      <c r="B2428" s="13"/>
      <c r="C2428" s="74"/>
      <c r="D2428" s="664" t="s">
        <v>2396</v>
      </c>
      <c r="E2428" s="485"/>
      <c r="F2428" s="485"/>
      <c r="G2428" s="441"/>
      <c r="H2428" s="87"/>
      <c r="I2428" s="87"/>
      <c r="J2428" s="15"/>
      <c r="K2428" s="41"/>
      <c r="L2428" s="48"/>
      <c r="M2428" s="16"/>
      <c r="N2428" s="210"/>
      <c r="O2428" s="458"/>
      <c r="P2428" s="458"/>
      <c r="Q2428" s="151"/>
      <c r="R2428" s="151"/>
      <c r="S2428" s="151"/>
      <c r="T2428" s="151"/>
      <c r="U2428" s="151"/>
      <c r="V2428" s="151"/>
      <c r="W2428" s="151"/>
      <c r="X2428" s="151"/>
      <c r="Y2428" s="53"/>
      <c r="Z2428" s="53"/>
      <c r="AA2428" s="259"/>
      <c r="AB2428" s="19"/>
      <c r="AC2428" s="22" t="s">
        <v>1</v>
      </c>
      <c r="AD2428" s="147"/>
    </row>
    <row r="2429" spans="2:30">
      <c r="B2429" s="13"/>
      <c r="C2429" s="74"/>
      <c r="D2429" s="664" t="s">
        <v>2397</v>
      </c>
      <c r="E2429" s="485"/>
      <c r="F2429" s="485"/>
      <c r="G2429" s="441"/>
      <c r="H2429" s="87"/>
      <c r="I2429" s="87"/>
      <c r="J2429" s="15"/>
      <c r="K2429" s="41"/>
      <c r="L2429" s="48"/>
      <c r="M2429" s="16" t="s">
        <v>1</v>
      </c>
      <c r="N2429" s="210"/>
      <c r="O2429" s="458"/>
      <c r="P2429" s="458"/>
      <c r="Q2429" s="151"/>
      <c r="R2429" s="151"/>
      <c r="S2429" s="151"/>
      <c r="T2429" s="151"/>
      <c r="U2429" s="151"/>
      <c r="V2429" s="151"/>
      <c r="W2429" s="151"/>
      <c r="X2429" s="151"/>
      <c r="Y2429" s="53"/>
      <c r="Z2429" s="53"/>
      <c r="AA2429" s="259"/>
      <c r="AB2429" s="19"/>
      <c r="AC2429" s="22"/>
      <c r="AD2429" s="147"/>
    </row>
    <row r="2430" spans="2:30">
      <c r="B2430" s="13"/>
      <c r="C2430" s="74"/>
      <c r="D2430" s="664" t="s">
        <v>2398</v>
      </c>
      <c r="E2430" s="485"/>
      <c r="F2430" s="485"/>
      <c r="G2430" s="441"/>
      <c r="H2430" s="87"/>
      <c r="I2430" s="87"/>
      <c r="J2430" s="15"/>
      <c r="K2430" s="41"/>
      <c r="L2430" s="48"/>
      <c r="M2430" s="16"/>
      <c r="N2430" s="210"/>
      <c r="O2430" s="458"/>
      <c r="P2430" s="458"/>
      <c r="Q2430" s="151"/>
      <c r="R2430" s="151"/>
      <c r="S2430" s="151"/>
      <c r="T2430" s="151"/>
      <c r="U2430" s="151"/>
      <c r="V2430" s="151"/>
      <c r="W2430" s="151"/>
      <c r="X2430" s="151"/>
      <c r="Y2430" s="53"/>
      <c r="Z2430" s="53"/>
      <c r="AA2430" s="259"/>
      <c r="AB2430" s="19"/>
      <c r="AC2430" s="22"/>
      <c r="AD2430" s="147"/>
    </row>
    <row r="2431" spans="2:30">
      <c r="B2431" s="13"/>
      <c r="C2431" s="74"/>
      <c r="D2431" s="664" t="s">
        <v>2399</v>
      </c>
      <c r="E2431" s="485"/>
      <c r="F2431" s="485"/>
      <c r="G2431" s="441"/>
      <c r="H2431" s="87"/>
      <c r="I2431" s="87"/>
      <c r="J2431" s="15"/>
      <c r="K2431" s="41"/>
      <c r="L2431" s="48"/>
      <c r="M2431" s="16"/>
      <c r="N2431" s="210"/>
      <c r="O2431" s="458"/>
      <c r="P2431" s="458"/>
      <c r="Q2431" s="151"/>
      <c r="R2431" s="151"/>
      <c r="S2431" s="151"/>
      <c r="T2431" s="151"/>
      <c r="U2431" s="151"/>
      <c r="V2431" s="151"/>
      <c r="W2431" s="151"/>
      <c r="X2431" s="151"/>
      <c r="Y2431" s="53"/>
      <c r="Z2431" s="53"/>
      <c r="AA2431" s="259"/>
      <c r="AB2431" s="19"/>
      <c r="AC2431" s="22"/>
      <c r="AD2431" s="147"/>
    </row>
    <row r="2432" spans="2:30">
      <c r="B2432" s="13"/>
      <c r="C2432" s="74"/>
      <c r="D2432" s="664" t="s">
        <v>2400</v>
      </c>
      <c r="E2432" s="485"/>
      <c r="F2432" s="485"/>
      <c r="G2432" s="441"/>
      <c r="H2432" s="87"/>
      <c r="I2432" s="87"/>
      <c r="J2432" s="15"/>
      <c r="K2432" s="41"/>
      <c r="L2432" s="48"/>
      <c r="M2432" s="16"/>
      <c r="N2432" s="210"/>
      <c r="O2432" s="458"/>
      <c r="P2432" s="458"/>
      <c r="Q2432" s="151"/>
      <c r="R2432" s="151"/>
      <c r="S2432" s="151"/>
      <c r="T2432" s="151"/>
      <c r="U2432" s="151"/>
      <c r="V2432" s="151"/>
      <c r="W2432" s="151"/>
      <c r="X2432" s="151"/>
      <c r="Y2432" s="53"/>
      <c r="Z2432" s="53"/>
      <c r="AA2432" s="259"/>
      <c r="AB2432" s="19"/>
      <c r="AC2432" s="22"/>
      <c r="AD2432" s="147"/>
    </row>
    <row r="2433" spans="2:32">
      <c r="B2433" s="13"/>
      <c r="C2433" s="74"/>
      <c r="D2433" s="665" t="s">
        <v>2093</v>
      </c>
      <c r="E2433" s="485"/>
      <c r="F2433" s="485"/>
      <c r="G2433" s="441"/>
      <c r="H2433" s="87"/>
      <c r="I2433" s="87"/>
      <c r="J2433" s="15"/>
      <c r="K2433" s="41"/>
      <c r="L2433" s="48"/>
      <c r="M2433" s="16"/>
      <c r="N2433" s="210"/>
      <c r="O2433" s="458"/>
      <c r="P2433" s="458"/>
      <c r="Q2433" s="151"/>
      <c r="R2433" s="151"/>
      <c r="S2433" s="151"/>
      <c r="T2433" s="151"/>
      <c r="U2433" s="151"/>
      <c r="V2433" s="151"/>
      <c r="W2433" s="151"/>
      <c r="X2433" s="151"/>
      <c r="Y2433" s="53"/>
      <c r="Z2433" s="53"/>
      <c r="AA2433" s="259"/>
      <c r="AB2433" s="19"/>
      <c r="AC2433" s="22"/>
      <c r="AD2433" s="147"/>
    </row>
    <row r="2434" spans="2:32">
      <c r="B2434" s="13">
        <f>B2426+1</f>
        <v>20</v>
      </c>
      <c r="C2434" s="74" t="s">
        <v>253</v>
      </c>
      <c r="D2434" s="21" t="s">
        <v>1380</v>
      </c>
      <c r="E2434" s="485"/>
      <c r="F2434" s="485"/>
      <c r="G2434" s="441"/>
      <c r="H2434" s="87"/>
      <c r="I2434" s="87"/>
      <c r="J2434" s="15">
        <v>35000000</v>
      </c>
      <c r="K2434" s="15">
        <v>35000000</v>
      </c>
      <c r="L2434" s="48"/>
      <c r="M2434" s="16"/>
      <c r="N2434" s="210"/>
      <c r="O2434" s="458"/>
      <c r="P2434" s="458"/>
      <c r="Q2434" s="151"/>
      <c r="R2434" s="151"/>
      <c r="S2434" s="151"/>
      <c r="T2434" s="151"/>
      <c r="U2434" s="151"/>
      <c r="V2434" s="151"/>
      <c r="W2434" s="151"/>
      <c r="X2434" s="151"/>
      <c r="Y2434" s="53">
        <v>100</v>
      </c>
      <c r="Z2434" s="53">
        <v>100</v>
      </c>
      <c r="AA2434" s="259">
        <v>35000000</v>
      </c>
      <c r="AB2434" s="19">
        <f>AA2434/K2434*100</f>
        <v>100</v>
      </c>
      <c r="AC2434" s="22">
        <v>24975000</v>
      </c>
      <c r="AD2434" s="19">
        <f>AC2434/K2434*100</f>
        <v>71.357142857142847</v>
      </c>
    </row>
    <row r="2435" spans="2:32">
      <c r="B2435" s="13">
        <f>B2434+1</f>
        <v>21</v>
      </c>
      <c r="C2435" s="81">
        <v>18.004000000000001</v>
      </c>
      <c r="D2435" s="21" t="s">
        <v>1381</v>
      </c>
      <c r="E2435" s="204"/>
      <c r="F2435" s="204"/>
      <c r="G2435" s="193"/>
      <c r="H2435" s="89"/>
      <c r="I2435" s="89"/>
      <c r="J2435" s="15">
        <v>25000000</v>
      </c>
      <c r="K2435" s="15">
        <v>25000000</v>
      </c>
      <c r="L2435" s="13"/>
      <c r="M2435" s="17"/>
      <c r="N2435" s="17"/>
      <c r="O2435" s="17"/>
      <c r="P2435" s="17"/>
      <c r="Q2435" s="17"/>
      <c r="R2435" s="17"/>
      <c r="S2435" s="17"/>
      <c r="T2435" s="17"/>
      <c r="U2435" s="17"/>
      <c r="V2435" s="17"/>
      <c r="W2435" s="17"/>
      <c r="X2435" s="17"/>
      <c r="Y2435" s="53">
        <v>100</v>
      </c>
      <c r="Z2435" s="53">
        <v>100</v>
      </c>
      <c r="AA2435" s="22">
        <v>24986500</v>
      </c>
      <c r="AB2435" s="19">
        <f>AA2435/K2435*100</f>
        <v>99.945999999999998</v>
      </c>
      <c r="AC2435" s="22">
        <v>14176500</v>
      </c>
      <c r="AD2435" s="19">
        <f>AC2435/K2435*100</f>
        <v>56.706000000000003</v>
      </c>
    </row>
    <row r="2436" spans="2:32" ht="34.5" customHeight="1">
      <c r="B2436" s="13"/>
      <c r="C2436" s="86" t="s">
        <v>1382</v>
      </c>
      <c r="D2436" s="86" t="s">
        <v>1383</v>
      </c>
      <c r="E2436" s="485"/>
      <c r="F2436" s="485"/>
      <c r="G2436" s="441"/>
      <c r="H2436" s="87"/>
      <c r="I2436" s="87"/>
      <c r="J2436" s="88"/>
      <c r="K2436" s="88"/>
      <c r="L2436" s="57"/>
      <c r="M2436" s="25"/>
      <c r="N2436" s="49"/>
      <c r="O2436" s="401"/>
      <c r="P2436" s="401"/>
      <c r="Q2436" s="18"/>
      <c r="R2436" s="18"/>
      <c r="S2436" s="18"/>
      <c r="T2436" s="18"/>
      <c r="U2436" s="18"/>
      <c r="V2436" s="18"/>
      <c r="W2436" s="18"/>
      <c r="X2436" s="18"/>
      <c r="Y2436" s="53"/>
      <c r="Z2436" s="53"/>
      <c r="AA2436" s="22"/>
      <c r="AB2436" s="19"/>
      <c r="AC2436" s="22">
        <f t="shared" si="796"/>
        <v>0</v>
      </c>
      <c r="AD2436" s="19"/>
    </row>
    <row r="2437" spans="2:32" ht="23.25" customHeight="1">
      <c r="B2437" s="13">
        <f>B2435+1</f>
        <v>22</v>
      </c>
      <c r="C2437" s="74" t="s">
        <v>293</v>
      </c>
      <c r="D2437" s="21" t="s">
        <v>1384</v>
      </c>
      <c r="E2437" s="204"/>
      <c r="F2437" s="204"/>
      <c r="G2437" s="193"/>
      <c r="H2437" s="89"/>
      <c r="I2437" s="89"/>
      <c r="J2437" s="15">
        <v>30000000</v>
      </c>
      <c r="K2437" s="15">
        <v>30000000</v>
      </c>
      <c r="L2437" s="13"/>
      <c r="M2437" s="17"/>
      <c r="N2437" s="17"/>
      <c r="O2437" s="17"/>
      <c r="P2437" s="17"/>
      <c r="Q2437" s="17"/>
      <c r="R2437" s="17"/>
      <c r="S2437" s="17"/>
      <c r="T2437" s="17"/>
      <c r="U2437" s="17"/>
      <c r="V2437" s="17"/>
      <c r="W2437" s="17"/>
      <c r="X2437" s="17"/>
      <c r="Y2437" s="53">
        <v>100</v>
      </c>
      <c r="Z2437" s="53">
        <v>100</v>
      </c>
      <c r="AA2437" s="22">
        <v>27999250</v>
      </c>
      <c r="AB2437" s="19">
        <f>AA2437/K2437*100</f>
        <v>93.330833333333331</v>
      </c>
      <c r="AC2437" s="22">
        <f>AA2437</f>
        <v>27999250</v>
      </c>
      <c r="AD2437" s="19">
        <f>AC2437/K2437*100</f>
        <v>93.330833333333331</v>
      </c>
    </row>
    <row r="2438" spans="2:32" ht="30" customHeight="1">
      <c r="B2438" s="13">
        <f t="shared" si="787"/>
        <v>23</v>
      </c>
      <c r="C2438" s="74" t="s">
        <v>295</v>
      </c>
      <c r="D2438" s="21" t="s">
        <v>1385</v>
      </c>
      <c r="E2438" s="204"/>
      <c r="F2438" s="204"/>
      <c r="G2438" s="193"/>
      <c r="H2438" s="89"/>
      <c r="I2438" s="89"/>
      <c r="J2438" s="15">
        <v>30000000</v>
      </c>
      <c r="K2438" s="15">
        <v>30000000</v>
      </c>
      <c r="L2438" s="13"/>
      <c r="M2438" s="17"/>
      <c r="N2438" s="17"/>
      <c r="O2438" s="17"/>
      <c r="P2438" s="17"/>
      <c r="Q2438" s="17"/>
      <c r="R2438" s="17"/>
      <c r="S2438" s="17"/>
      <c r="T2438" s="17"/>
      <c r="U2438" s="17"/>
      <c r="V2438" s="17"/>
      <c r="W2438" s="17"/>
      <c r="X2438" s="17"/>
      <c r="Y2438" s="53">
        <v>100</v>
      </c>
      <c r="Z2438" s="53">
        <v>100</v>
      </c>
      <c r="AA2438" s="22">
        <v>29499000</v>
      </c>
      <c r="AB2438" s="19">
        <f t="shared" ref="AB2438:AB2448" si="797">AA2438/K2438*100</f>
        <v>98.33</v>
      </c>
      <c r="AC2438" s="22">
        <f>AA2438</f>
        <v>29499000</v>
      </c>
      <c r="AD2438" s="19">
        <f t="shared" ref="AD2438:AD2448" si="798">AC2438/K2438*100</f>
        <v>98.33</v>
      </c>
    </row>
    <row r="2439" spans="2:32" ht="25.5">
      <c r="B2439" s="13">
        <f t="shared" si="787"/>
        <v>24</v>
      </c>
      <c r="C2439" s="74" t="s">
        <v>981</v>
      </c>
      <c r="D2439" s="21" t="s">
        <v>1386</v>
      </c>
      <c r="E2439" s="204"/>
      <c r="F2439" s="204"/>
      <c r="G2439" s="193"/>
      <c r="H2439" s="89"/>
      <c r="I2439" s="89"/>
      <c r="J2439" s="15">
        <v>40000000</v>
      </c>
      <c r="K2439" s="15">
        <v>40000000</v>
      </c>
      <c r="L2439" s="13"/>
      <c r="M2439" s="17"/>
      <c r="N2439" s="17"/>
      <c r="O2439" s="17"/>
      <c r="P2439" s="17"/>
      <c r="Q2439" s="17"/>
      <c r="R2439" s="17"/>
      <c r="S2439" s="17"/>
      <c r="T2439" s="17"/>
      <c r="U2439" s="17"/>
      <c r="V2439" s="17"/>
      <c r="W2439" s="17"/>
      <c r="X2439" s="17"/>
      <c r="Y2439" s="53">
        <v>100</v>
      </c>
      <c r="Z2439" s="53">
        <v>100</v>
      </c>
      <c r="AA2439" s="22">
        <v>40000000</v>
      </c>
      <c r="AB2439" s="19">
        <f t="shared" si="797"/>
        <v>100</v>
      </c>
      <c r="AC2439" s="22">
        <v>16450200</v>
      </c>
      <c r="AD2439" s="19">
        <f t="shared" si="798"/>
        <v>41.125499999999995</v>
      </c>
      <c r="AE2439" s="71"/>
    </row>
    <row r="2440" spans="2:32" ht="25.5">
      <c r="B2440" s="13">
        <f t="shared" si="787"/>
        <v>25</v>
      </c>
      <c r="C2440" s="81">
        <v>20.006</v>
      </c>
      <c r="D2440" s="21" t="s">
        <v>1387</v>
      </c>
      <c r="E2440" s="204"/>
      <c r="F2440" s="204"/>
      <c r="G2440" s="193"/>
      <c r="H2440" s="89"/>
      <c r="I2440" s="89"/>
      <c r="J2440" s="15">
        <v>13500000</v>
      </c>
      <c r="K2440" s="15">
        <v>13500000</v>
      </c>
      <c r="L2440" s="13"/>
      <c r="M2440" s="17"/>
      <c r="N2440" s="17"/>
      <c r="O2440" s="17"/>
      <c r="P2440" s="17"/>
      <c r="Q2440" s="17"/>
      <c r="R2440" s="17"/>
      <c r="S2440" s="17"/>
      <c r="T2440" s="17"/>
      <c r="U2440" s="17"/>
      <c r="V2440" s="17"/>
      <c r="W2440" s="17"/>
      <c r="X2440" s="17"/>
      <c r="Y2440" s="53">
        <v>100</v>
      </c>
      <c r="Z2440" s="53">
        <v>100</v>
      </c>
      <c r="AA2440" s="22">
        <v>10622245</v>
      </c>
      <c r="AB2440" s="19">
        <f t="shared" si="797"/>
        <v>78.683296296296305</v>
      </c>
      <c r="AC2440" s="22">
        <f t="shared" si="796"/>
        <v>10622245</v>
      </c>
      <c r="AD2440" s="19">
        <f t="shared" si="798"/>
        <v>78.683296296296305</v>
      </c>
    </row>
    <row r="2441" spans="2:32" ht="25.5">
      <c r="B2441" s="13">
        <f t="shared" si="787"/>
        <v>26</v>
      </c>
      <c r="C2441" s="81">
        <v>20.007000000000001</v>
      </c>
      <c r="D2441" s="21" t="s">
        <v>1388</v>
      </c>
      <c r="E2441" s="204"/>
      <c r="F2441" s="204"/>
      <c r="G2441" s="193"/>
      <c r="H2441" s="89"/>
      <c r="I2441" s="89"/>
      <c r="J2441" s="15">
        <v>35000000</v>
      </c>
      <c r="K2441" s="25">
        <v>40000000</v>
      </c>
      <c r="L2441" s="13"/>
      <c r="M2441" s="17"/>
      <c r="N2441" s="17"/>
      <c r="O2441" s="17"/>
      <c r="P2441" s="17"/>
      <c r="Q2441" s="17"/>
      <c r="R2441" s="17"/>
      <c r="S2441" s="17"/>
      <c r="T2441" s="17"/>
      <c r="U2441" s="17"/>
      <c r="V2441" s="17"/>
      <c r="W2441" s="17"/>
      <c r="X2441" s="17"/>
      <c r="Y2441" s="53">
        <v>100</v>
      </c>
      <c r="Z2441" s="53">
        <v>100</v>
      </c>
      <c r="AA2441" s="22">
        <v>39720000</v>
      </c>
      <c r="AB2441" s="19">
        <f t="shared" si="797"/>
        <v>99.3</v>
      </c>
      <c r="AC2441" s="22">
        <f>AA2441</f>
        <v>39720000</v>
      </c>
      <c r="AD2441" s="19">
        <f t="shared" si="798"/>
        <v>99.3</v>
      </c>
    </row>
    <row r="2442" spans="2:32" ht="21.75" customHeight="1">
      <c r="B2442" s="13">
        <f t="shared" si="787"/>
        <v>27</v>
      </c>
      <c r="C2442" s="81">
        <v>20.007999999999999</v>
      </c>
      <c r="D2442" s="21" t="s">
        <v>1389</v>
      </c>
      <c r="E2442" s="204"/>
      <c r="F2442" s="204"/>
      <c r="G2442" s="193"/>
      <c r="H2442" s="89"/>
      <c r="I2442" s="89"/>
      <c r="J2442" s="15">
        <v>50000000</v>
      </c>
      <c r="K2442" s="15">
        <v>50000000</v>
      </c>
      <c r="L2442" s="13"/>
      <c r="M2442" s="17"/>
      <c r="N2442" s="17"/>
      <c r="O2442" s="17"/>
      <c r="P2442" s="17"/>
      <c r="Q2442" s="17"/>
      <c r="R2442" s="17"/>
      <c r="S2442" s="17"/>
      <c r="T2442" s="17"/>
      <c r="U2442" s="17"/>
      <c r="V2442" s="17"/>
      <c r="W2442" s="17"/>
      <c r="X2442" s="17"/>
      <c r="Y2442" s="53">
        <v>100</v>
      </c>
      <c r="Z2442" s="53">
        <v>100</v>
      </c>
      <c r="AA2442" s="22">
        <v>50000000</v>
      </c>
      <c r="AB2442" s="19">
        <f t="shared" si="797"/>
        <v>100</v>
      </c>
      <c r="AC2442" s="22">
        <f>48131000+200000</f>
        <v>48331000</v>
      </c>
      <c r="AD2442" s="19">
        <f t="shared" si="798"/>
        <v>96.662000000000006</v>
      </c>
    </row>
    <row r="2443" spans="2:32" ht="33" customHeight="1">
      <c r="B2443" s="13"/>
      <c r="C2443" s="86" t="s">
        <v>1390</v>
      </c>
      <c r="D2443" s="86" t="s">
        <v>1391</v>
      </c>
      <c r="E2443" s="204"/>
      <c r="F2443" s="204"/>
      <c r="G2443" s="193"/>
      <c r="H2443" s="89"/>
      <c r="I2443" s="89"/>
      <c r="J2443" s="15"/>
      <c r="K2443" s="25"/>
      <c r="L2443" s="13"/>
      <c r="M2443" s="17"/>
      <c r="N2443" s="17"/>
      <c r="O2443" s="17"/>
      <c r="P2443" s="17"/>
      <c r="Q2443" s="17"/>
      <c r="R2443" s="17"/>
      <c r="S2443" s="17"/>
      <c r="T2443" s="17"/>
      <c r="U2443" s="17"/>
      <c r="V2443" s="17"/>
      <c r="W2443" s="17"/>
      <c r="X2443" s="17"/>
      <c r="Y2443" s="53"/>
      <c r="Z2443" s="53"/>
      <c r="AA2443" s="22"/>
      <c r="AB2443" s="19"/>
      <c r="AC2443" s="22"/>
      <c r="AD2443" s="19"/>
    </row>
    <row r="2444" spans="2:32" ht="33" customHeight="1">
      <c r="B2444" s="47">
        <f>B2442+1</f>
        <v>28</v>
      </c>
      <c r="C2444" s="261">
        <v>21.001999999999999</v>
      </c>
      <c r="D2444" s="49" t="s">
        <v>1392</v>
      </c>
      <c r="E2444" s="204"/>
      <c r="F2444" s="204"/>
      <c r="G2444" s="193"/>
      <c r="H2444" s="89"/>
      <c r="I2444" s="89"/>
      <c r="J2444" s="15">
        <v>154000000</v>
      </c>
      <c r="K2444" s="25">
        <v>244000000</v>
      </c>
      <c r="L2444" s="13"/>
      <c r="M2444" s="17"/>
      <c r="N2444" s="17"/>
      <c r="O2444" s="17"/>
      <c r="P2444" s="17"/>
      <c r="Q2444" s="17"/>
      <c r="R2444" s="17"/>
      <c r="S2444" s="17"/>
      <c r="T2444" s="17"/>
      <c r="U2444" s="17"/>
      <c r="V2444" s="17"/>
      <c r="W2444" s="17"/>
      <c r="X2444" s="17"/>
      <c r="Y2444" s="53">
        <v>100</v>
      </c>
      <c r="Z2444" s="53">
        <v>100</v>
      </c>
      <c r="AA2444" s="22">
        <v>238249000</v>
      </c>
      <c r="AB2444" s="19">
        <f t="shared" si="797"/>
        <v>97.643032786885243</v>
      </c>
      <c r="AC2444" s="22">
        <f t="shared" si="796"/>
        <v>238249000</v>
      </c>
      <c r="AD2444" s="19">
        <f t="shared" si="798"/>
        <v>97.643032786885243</v>
      </c>
    </row>
    <row r="2445" spans="2:32" ht="33" customHeight="1">
      <c r="B2445" s="47">
        <f>B2444+1</f>
        <v>29</v>
      </c>
      <c r="C2445" s="261"/>
      <c r="D2445" s="49" t="s">
        <v>2128</v>
      </c>
      <c r="E2445" s="204"/>
      <c r="F2445" s="204"/>
      <c r="G2445" s="193"/>
      <c r="H2445" s="89"/>
      <c r="I2445" s="89"/>
      <c r="J2445" s="15"/>
      <c r="K2445" s="25">
        <v>300000000</v>
      </c>
      <c r="L2445" s="13"/>
      <c r="M2445" s="17"/>
      <c r="N2445" s="17"/>
      <c r="O2445" s="17"/>
      <c r="P2445" s="17"/>
      <c r="Q2445" s="17"/>
      <c r="R2445" s="17"/>
      <c r="S2445" s="17"/>
      <c r="T2445" s="17"/>
      <c r="U2445" s="17"/>
      <c r="V2445" s="17"/>
      <c r="W2445" s="17"/>
      <c r="X2445" s="17"/>
      <c r="Y2445" s="53">
        <v>100</v>
      </c>
      <c r="Z2445" s="53">
        <v>100</v>
      </c>
      <c r="AA2445" s="22">
        <v>293855080</v>
      </c>
      <c r="AB2445" s="19">
        <f t="shared" si="797"/>
        <v>97.951693333333338</v>
      </c>
      <c r="AC2445" s="22">
        <f>AA2445</f>
        <v>293855080</v>
      </c>
      <c r="AD2445" s="19">
        <f t="shared" si="798"/>
        <v>97.951693333333338</v>
      </c>
    </row>
    <row r="2446" spans="2:32" ht="33" customHeight="1">
      <c r="B2446" s="47">
        <f t="shared" ref="B2446:B2448" si="799">B2445+1</f>
        <v>30</v>
      </c>
      <c r="C2446" s="261"/>
      <c r="D2446" s="49" t="s">
        <v>2129</v>
      </c>
      <c r="E2446" s="204"/>
      <c r="F2446" s="204"/>
      <c r="G2446" s="193"/>
      <c r="H2446" s="89"/>
      <c r="I2446" s="89"/>
      <c r="J2446" s="15"/>
      <c r="K2446" s="25">
        <v>120000000</v>
      </c>
      <c r="L2446" s="13"/>
      <c r="M2446" s="17"/>
      <c r="N2446" s="17"/>
      <c r="O2446" s="17"/>
      <c r="P2446" s="17"/>
      <c r="Q2446" s="17"/>
      <c r="R2446" s="17"/>
      <c r="S2446" s="17"/>
      <c r="T2446" s="17"/>
      <c r="U2446" s="17"/>
      <c r="V2446" s="17"/>
      <c r="W2446" s="17"/>
      <c r="X2446" s="17"/>
      <c r="Y2446" s="53">
        <v>100</v>
      </c>
      <c r="Z2446" s="53">
        <v>100</v>
      </c>
      <c r="AA2446" s="22">
        <v>119755000</v>
      </c>
      <c r="AB2446" s="19">
        <f t="shared" si="797"/>
        <v>99.795833333333334</v>
      </c>
      <c r="AC2446" s="22">
        <f>AA2446</f>
        <v>119755000</v>
      </c>
      <c r="AD2446" s="19">
        <f t="shared" si="798"/>
        <v>99.795833333333334</v>
      </c>
      <c r="AF2446" s="2" t="s">
        <v>1</v>
      </c>
    </row>
    <row r="2447" spans="2:32" ht="18.75" customHeight="1">
      <c r="B2447" s="47">
        <f t="shared" si="799"/>
        <v>31</v>
      </c>
      <c r="C2447" s="261"/>
      <c r="D2447" s="49" t="s">
        <v>2130</v>
      </c>
      <c r="E2447" s="204"/>
      <c r="F2447" s="204"/>
      <c r="G2447" s="193"/>
      <c r="H2447" s="89"/>
      <c r="I2447" s="89"/>
      <c r="J2447" s="15"/>
      <c r="K2447" s="25">
        <v>200000000</v>
      </c>
      <c r="L2447" s="13"/>
      <c r="M2447" s="17"/>
      <c r="N2447" s="17"/>
      <c r="O2447" s="17"/>
      <c r="P2447" s="17"/>
      <c r="Q2447" s="17"/>
      <c r="R2447" s="17"/>
      <c r="S2447" s="17"/>
      <c r="T2447" s="17"/>
      <c r="U2447" s="17"/>
      <c r="V2447" s="17"/>
      <c r="W2447" s="17"/>
      <c r="X2447" s="17"/>
      <c r="Y2447" s="53">
        <v>100</v>
      </c>
      <c r="Z2447" s="53">
        <v>100</v>
      </c>
      <c r="AA2447" s="22">
        <v>191126000</v>
      </c>
      <c r="AB2447" s="19">
        <f t="shared" si="797"/>
        <v>95.563000000000002</v>
      </c>
      <c r="AC2447" s="22">
        <f>AA2447</f>
        <v>191126000</v>
      </c>
      <c r="AD2447" s="19">
        <f t="shared" si="798"/>
        <v>95.563000000000002</v>
      </c>
    </row>
    <row r="2448" spans="2:32" ht="28.5" customHeight="1">
      <c r="B2448" s="47">
        <f t="shared" si="799"/>
        <v>32</v>
      </c>
      <c r="C2448" s="261"/>
      <c r="D2448" s="313" t="s">
        <v>2131</v>
      </c>
      <c r="E2448" s="507"/>
      <c r="F2448" s="507"/>
      <c r="G2448" s="476"/>
      <c r="H2448" s="576"/>
      <c r="I2448" s="576"/>
      <c r="J2448" s="26"/>
      <c r="K2448" s="34">
        <v>150000000</v>
      </c>
      <c r="L2448" s="32"/>
      <c r="M2448" s="33"/>
      <c r="N2448" s="33"/>
      <c r="O2448" s="33"/>
      <c r="P2448" s="33"/>
      <c r="Q2448" s="33"/>
      <c r="R2448" s="33"/>
      <c r="S2448" s="33"/>
      <c r="T2448" s="33"/>
      <c r="U2448" s="33"/>
      <c r="V2448" s="33"/>
      <c r="W2448" s="33"/>
      <c r="X2448" s="33"/>
      <c r="Y2448" s="56">
        <v>100</v>
      </c>
      <c r="Z2448" s="56">
        <v>100</v>
      </c>
      <c r="AA2448" s="325">
        <v>149668543</v>
      </c>
      <c r="AB2448" s="19">
        <f t="shared" si="797"/>
        <v>99.779028666666676</v>
      </c>
      <c r="AC2448" s="325">
        <f>AA2448</f>
        <v>149668543</v>
      </c>
      <c r="AD2448" s="19">
        <f t="shared" si="798"/>
        <v>99.779028666666676</v>
      </c>
    </row>
    <row r="2449" spans="1:30">
      <c r="B2449" s="768">
        <v>173</v>
      </c>
      <c r="C2449" s="874" t="s">
        <v>1393</v>
      </c>
      <c r="D2449" s="874"/>
      <c r="E2449" s="763"/>
      <c r="F2449" s="763">
        <v>32</v>
      </c>
      <c r="G2449" s="764"/>
      <c r="H2449" s="763"/>
      <c r="I2449" s="764"/>
      <c r="J2449" s="766">
        <f>SUM(J2403:J2444)</f>
        <v>4063461000</v>
      </c>
      <c r="K2449" s="766">
        <f>SUM(K2403:K2448)</f>
        <v>5447961000</v>
      </c>
      <c r="L2449" s="768"/>
      <c r="M2449" s="769"/>
      <c r="N2449" s="769"/>
      <c r="O2449" s="769"/>
      <c r="P2449" s="769"/>
      <c r="Q2449" s="769"/>
      <c r="R2449" s="769"/>
      <c r="S2449" s="769"/>
      <c r="T2449" s="769">
        <v>1</v>
      </c>
      <c r="U2449" s="769"/>
      <c r="V2449" s="769"/>
      <c r="W2449" s="769"/>
      <c r="X2449" s="769">
        <v>1</v>
      </c>
      <c r="Y2449" s="801">
        <f>SUM(Y2402:Y2448)/32</f>
        <v>100</v>
      </c>
      <c r="Z2449" s="800">
        <f>SUM(Z2402:Z2448)/32</f>
        <v>100</v>
      </c>
      <c r="AA2449" s="801">
        <f>SUM(AA2403:AA2448)</f>
        <v>5119161024</v>
      </c>
      <c r="AB2449" s="800">
        <f>SUM(AB2402:AB2444)/32</f>
        <v>82.835011179458562</v>
      </c>
      <c r="AC2449" s="801">
        <f>SUM(AC2403:AC2448)</f>
        <v>4798374380</v>
      </c>
      <c r="AD2449" s="800">
        <f>SUM(AD2402:AD2444)/32</f>
        <v>69.568852291153235</v>
      </c>
    </row>
    <row r="2450" spans="1:30" s="635" customFormat="1">
      <c r="A2450" s="802"/>
      <c r="B2450" s="803"/>
      <c r="C2450" s="804"/>
      <c r="D2450" s="804"/>
      <c r="E2450" s="805"/>
      <c r="F2450" s="805"/>
      <c r="G2450" s="805"/>
      <c r="H2450" s="805"/>
      <c r="I2450" s="805"/>
      <c r="J2450" s="806"/>
      <c r="K2450" s="806"/>
      <c r="L2450" s="803"/>
      <c r="Y2450" s="807"/>
      <c r="Z2450" s="807"/>
      <c r="AA2450" s="808"/>
      <c r="AB2450" s="807"/>
      <c r="AC2450" s="808"/>
      <c r="AD2450" s="807"/>
    </row>
    <row r="2451" spans="1:30" s="463" customFormat="1">
      <c r="A2451" s="772"/>
      <c r="B2451" s="631"/>
      <c r="C2451" s="632"/>
      <c r="D2451" s="632"/>
      <c r="E2451" s="279"/>
      <c r="F2451" s="279"/>
      <c r="G2451" s="279"/>
      <c r="H2451" s="279"/>
      <c r="I2451" s="279"/>
      <c r="J2451" s="633"/>
      <c r="K2451" s="633"/>
      <c r="L2451" s="631"/>
      <c r="Y2451" s="787"/>
      <c r="Z2451" s="787"/>
      <c r="AA2451" s="634"/>
      <c r="AB2451" s="787"/>
      <c r="AC2451" s="634"/>
      <c r="AD2451" s="787"/>
    </row>
    <row r="2452" spans="1:30" s="463" customFormat="1">
      <c r="A2452" s="772"/>
      <c r="B2452" s="631"/>
      <c r="C2452" s="632"/>
      <c r="D2452" s="632"/>
      <c r="E2452" s="279"/>
      <c r="F2452" s="279"/>
      <c r="G2452" s="279"/>
      <c r="H2452" s="279"/>
      <c r="I2452" s="279"/>
      <c r="J2452" s="633"/>
      <c r="K2452" s="633"/>
      <c r="L2452" s="631"/>
      <c r="Y2452" s="787"/>
      <c r="Z2452" s="787"/>
      <c r="AA2452" s="634"/>
      <c r="AB2452" s="787"/>
      <c r="AC2452" s="634"/>
      <c r="AD2452" s="787"/>
    </row>
    <row r="2453" spans="1:30" ht="37.5" customHeight="1">
      <c r="B2453" s="66"/>
      <c r="C2453" s="63" t="s">
        <v>1394</v>
      </c>
      <c r="D2453" s="64" t="s">
        <v>1395</v>
      </c>
      <c r="E2453" s="484"/>
      <c r="F2453" s="484"/>
      <c r="G2453" s="472"/>
      <c r="H2453" s="484"/>
      <c r="I2453" s="472"/>
      <c r="J2453" s="65"/>
      <c r="K2453" s="65"/>
      <c r="L2453" s="66"/>
      <c r="M2453" s="63"/>
      <c r="N2453" s="63"/>
      <c r="O2453" s="63"/>
      <c r="P2453" s="63"/>
      <c r="Q2453" s="63"/>
      <c r="R2453" s="63"/>
      <c r="S2453" s="63"/>
      <c r="T2453" s="63"/>
      <c r="U2453" s="63"/>
      <c r="V2453" s="63"/>
      <c r="W2453" s="63"/>
      <c r="X2453" s="63"/>
      <c r="Y2453" s="63"/>
      <c r="Z2453" s="63"/>
      <c r="AA2453" s="63"/>
      <c r="AB2453" s="63"/>
      <c r="AC2453" s="137"/>
      <c r="AD2453" s="63"/>
    </row>
    <row r="2454" spans="1:30" ht="36" customHeight="1">
      <c r="B2454" s="13"/>
      <c r="C2454" s="86" t="s">
        <v>939</v>
      </c>
      <c r="D2454" s="86" t="s">
        <v>940</v>
      </c>
      <c r="E2454" s="485"/>
      <c r="F2454" s="485"/>
      <c r="G2454" s="441"/>
      <c r="H2454" s="87"/>
      <c r="I2454" s="87"/>
      <c r="J2454" s="88"/>
      <c r="K2454" s="88"/>
      <c r="L2454" s="13"/>
      <c r="M2454" s="17"/>
      <c r="N2454" s="17"/>
      <c r="O2454" s="17"/>
      <c r="P2454" s="17"/>
      <c r="Q2454" s="17"/>
      <c r="R2454" s="17"/>
      <c r="S2454" s="17"/>
      <c r="T2454" s="17"/>
      <c r="U2454" s="17"/>
      <c r="V2454" s="17"/>
      <c r="W2454" s="17"/>
      <c r="X2454" s="17"/>
      <c r="Y2454" s="17"/>
      <c r="Z2454" s="17"/>
      <c r="AA2454" s="77"/>
      <c r="AB2454" s="229"/>
      <c r="AC2454" s="230"/>
      <c r="AD2454" s="229"/>
    </row>
    <row r="2455" spans="1:30">
      <c r="B2455" s="13">
        <v>1</v>
      </c>
      <c r="C2455" s="74" t="s">
        <v>219</v>
      </c>
      <c r="D2455" s="74" t="s">
        <v>1396</v>
      </c>
      <c r="E2455" s="204"/>
      <c r="F2455" s="204"/>
      <c r="G2455" s="193"/>
      <c r="H2455" s="89"/>
      <c r="I2455" s="89"/>
      <c r="J2455" s="15">
        <v>29774000</v>
      </c>
      <c r="K2455" s="99">
        <v>29774000</v>
      </c>
      <c r="L2455" s="13"/>
      <c r="M2455" s="17"/>
      <c r="N2455" s="17"/>
      <c r="O2455" s="17"/>
      <c r="P2455" s="17"/>
      <c r="Q2455" s="17"/>
      <c r="R2455" s="17"/>
      <c r="S2455" s="17"/>
      <c r="T2455" s="17"/>
      <c r="U2455" s="17"/>
      <c r="V2455" s="17"/>
      <c r="W2455" s="17"/>
      <c r="X2455" s="17"/>
      <c r="Y2455" s="19">
        <v>100</v>
      </c>
      <c r="Z2455" s="19">
        <v>100</v>
      </c>
      <c r="AA2455" s="77">
        <v>29064000</v>
      </c>
      <c r="AB2455" s="229">
        <f>AA2455/K2455*100</f>
        <v>97.615369113992074</v>
      </c>
      <c r="AC2455" s="77">
        <f t="shared" ref="AC2455:AC2466" si="800">AA2455</f>
        <v>29064000</v>
      </c>
      <c r="AD2455" s="229">
        <f>AC2455/K2455*100</f>
        <v>97.615369113992074</v>
      </c>
    </row>
    <row r="2456" spans="1:30">
      <c r="B2456" s="13">
        <f>B2455+1</f>
        <v>2</v>
      </c>
      <c r="C2456" s="74" t="s">
        <v>564</v>
      </c>
      <c r="D2456" s="74" t="s">
        <v>1397</v>
      </c>
      <c r="E2456" s="204"/>
      <c r="F2456" s="204"/>
      <c r="G2456" s="193"/>
      <c r="H2456" s="89"/>
      <c r="I2456" s="89"/>
      <c r="J2456" s="15">
        <v>21067000</v>
      </c>
      <c r="K2456" s="99">
        <v>21067000</v>
      </c>
      <c r="L2456" s="13"/>
      <c r="M2456" s="17"/>
      <c r="N2456" s="17"/>
      <c r="O2456" s="17"/>
      <c r="P2456" s="17"/>
      <c r="Q2456" s="17"/>
      <c r="R2456" s="17"/>
      <c r="S2456" s="17"/>
      <c r="T2456" s="17"/>
      <c r="U2456" s="17"/>
      <c r="V2456" s="17"/>
      <c r="W2456" s="17"/>
      <c r="X2456" s="17"/>
      <c r="Y2456" s="17">
        <v>100</v>
      </c>
      <c r="Z2456" s="17">
        <v>100</v>
      </c>
      <c r="AA2456" s="77">
        <v>20807000</v>
      </c>
      <c r="AB2456" s="229">
        <f t="shared" ref="AB2456:AB2512" si="801">AA2456/K2456*100</f>
        <v>98.765842312621629</v>
      </c>
      <c r="AC2456" s="77">
        <f t="shared" si="800"/>
        <v>20807000</v>
      </c>
      <c r="AD2456" s="229">
        <f t="shared" ref="AD2456:AD2512" si="802">AC2456/K2456*100</f>
        <v>98.765842312621629</v>
      </c>
    </row>
    <row r="2457" spans="1:30">
      <c r="B2457" s="13">
        <f t="shared" ref="B2457:B2512" si="803">B2456+1</f>
        <v>3</v>
      </c>
      <c r="C2457" s="74" t="s">
        <v>644</v>
      </c>
      <c r="D2457" s="74" t="s">
        <v>1398</v>
      </c>
      <c r="E2457" s="204"/>
      <c r="F2457" s="204"/>
      <c r="G2457" s="193"/>
      <c r="H2457" s="89"/>
      <c r="I2457" s="89"/>
      <c r="J2457" s="15">
        <v>40681000</v>
      </c>
      <c r="K2457" s="99">
        <v>40681000</v>
      </c>
      <c r="L2457" s="13"/>
      <c r="M2457" s="17"/>
      <c r="N2457" s="17"/>
      <c r="O2457" s="17"/>
      <c r="P2457" s="17"/>
      <c r="Q2457" s="17"/>
      <c r="R2457" s="17"/>
      <c r="S2457" s="17"/>
      <c r="T2457" s="17"/>
      <c r="U2457" s="17"/>
      <c r="V2457" s="17"/>
      <c r="W2457" s="17"/>
      <c r="X2457" s="17"/>
      <c r="Y2457" s="17">
        <f t="shared" ref="Y2457:Y2498" si="804">Z2457</f>
        <v>100</v>
      </c>
      <c r="Z2457" s="17">
        <v>100</v>
      </c>
      <c r="AA2457" s="77">
        <v>35319244</v>
      </c>
      <c r="AB2457" s="229">
        <f t="shared" si="801"/>
        <v>86.819999508370003</v>
      </c>
      <c r="AC2457" s="77">
        <f t="shared" si="800"/>
        <v>35319244</v>
      </c>
      <c r="AD2457" s="229">
        <f t="shared" si="802"/>
        <v>86.819999508370003</v>
      </c>
    </row>
    <row r="2458" spans="1:30" ht="27">
      <c r="B2458" s="13">
        <f t="shared" si="803"/>
        <v>4</v>
      </c>
      <c r="C2458" s="74" t="s">
        <v>664</v>
      </c>
      <c r="D2458" s="74" t="s">
        <v>1399</v>
      </c>
      <c r="E2458" s="204"/>
      <c r="F2458" s="204"/>
      <c r="G2458" s="193"/>
      <c r="H2458" s="89"/>
      <c r="I2458" s="89"/>
      <c r="J2458" s="15">
        <v>123053000</v>
      </c>
      <c r="K2458" s="99">
        <v>123053000</v>
      </c>
      <c r="L2458" s="13"/>
      <c r="M2458" s="17"/>
      <c r="N2458" s="17"/>
      <c r="O2458" s="17"/>
      <c r="P2458" s="17"/>
      <c r="Q2458" s="17"/>
      <c r="R2458" s="17"/>
      <c r="S2458" s="17"/>
      <c r="T2458" s="17"/>
      <c r="U2458" s="17"/>
      <c r="V2458" s="17"/>
      <c r="W2458" s="17"/>
      <c r="X2458" s="17"/>
      <c r="Y2458" s="17">
        <v>100</v>
      </c>
      <c r="Z2458" s="17">
        <v>100</v>
      </c>
      <c r="AA2458" s="77">
        <v>62867778</v>
      </c>
      <c r="AB2458" s="229">
        <f t="shared" si="801"/>
        <v>51.090000243797384</v>
      </c>
      <c r="AC2458" s="77">
        <f t="shared" si="800"/>
        <v>62867778</v>
      </c>
      <c r="AD2458" s="229">
        <f t="shared" si="802"/>
        <v>51.090000243797384</v>
      </c>
    </row>
    <row r="2459" spans="1:30" ht="27">
      <c r="B2459" s="13">
        <f t="shared" si="803"/>
        <v>5</v>
      </c>
      <c r="C2459" s="74" t="s">
        <v>666</v>
      </c>
      <c r="D2459" s="74" t="s">
        <v>1400</v>
      </c>
      <c r="E2459" s="204"/>
      <c r="F2459" s="204"/>
      <c r="G2459" s="193"/>
      <c r="H2459" s="89"/>
      <c r="I2459" s="89"/>
      <c r="J2459" s="15">
        <v>40000000</v>
      </c>
      <c r="K2459" s="99">
        <v>40000000</v>
      </c>
      <c r="L2459" s="13"/>
      <c r="M2459" s="17"/>
      <c r="N2459" s="17"/>
      <c r="O2459" s="17"/>
      <c r="P2459" s="17"/>
      <c r="Q2459" s="17"/>
      <c r="R2459" s="17"/>
      <c r="S2459" s="17"/>
      <c r="T2459" s="17"/>
      <c r="U2459" s="17"/>
      <c r="V2459" s="17"/>
      <c r="W2459" s="17"/>
      <c r="X2459" s="17"/>
      <c r="Y2459" s="17">
        <v>100</v>
      </c>
      <c r="Z2459" s="17">
        <v>100</v>
      </c>
      <c r="AA2459" s="77">
        <v>39180000</v>
      </c>
      <c r="AB2459" s="229">
        <f t="shared" si="801"/>
        <v>97.95</v>
      </c>
      <c r="AC2459" s="77">
        <f t="shared" si="800"/>
        <v>39180000</v>
      </c>
      <c r="AD2459" s="229">
        <f t="shared" si="802"/>
        <v>97.95</v>
      </c>
    </row>
    <row r="2460" spans="1:30" ht="27">
      <c r="B2460" s="13">
        <f t="shared" si="803"/>
        <v>6</v>
      </c>
      <c r="C2460" s="74" t="s">
        <v>602</v>
      </c>
      <c r="D2460" s="74" t="s">
        <v>1401</v>
      </c>
      <c r="E2460" s="204"/>
      <c r="F2460" s="204"/>
      <c r="G2460" s="193"/>
      <c r="H2460" s="89"/>
      <c r="I2460" s="89"/>
      <c r="J2460" s="15">
        <v>395980000</v>
      </c>
      <c r="K2460" s="99">
        <v>583003000</v>
      </c>
      <c r="L2460" s="13"/>
      <c r="M2460" s="17"/>
      <c r="N2460" s="17"/>
      <c r="O2460" s="17"/>
      <c r="P2460" s="17"/>
      <c r="Q2460" s="17"/>
      <c r="R2460" s="17"/>
      <c r="S2460" s="17"/>
      <c r="T2460" s="17"/>
      <c r="U2460" s="17"/>
      <c r="V2460" s="17"/>
      <c r="W2460" s="17"/>
      <c r="X2460" s="17"/>
      <c r="Y2460" s="17">
        <v>100</v>
      </c>
      <c r="Z2460" s="17">
        <v>100</v>
      </c>
      <c r="AA2460" s="77">
        <v>582361697</v>
      </c>
      <c r="AB2460" s="229">
        <f t="shared" si="801"/>
        <v>99.890000051457704</v>
      </c>
      <c r="AC2460" s="77">
        <f t="shared" si="800"/>
        <v>582361697</v>
      </c>
      <c r="AD2460" s="229">
        <f t="shared" si="802"/>
        <v>99.890000051457704</v>
      </c>
    </row>
    <row r="2461" spans="1:30">
      <c r="B2461" s="13">
        <f t="shared" si="803"/>
        <v>7</v>
      </c>
      <c r="C2461" s="74" t="s">
        <v>604</v>
      </c>
      <c r="D2461" s="74" t="s">
        <v>941</v>
      </c>
      <c r="E2461" s="204"/>
      <c r="F2461" s="204"/>
      <c r="G2461" s="193"/>
      <c r="H2461" s="89"/>
      <c r="I2461" s="89"/>
      <c r="J2461" s="15">
        <v>65700000</v>
      </c>
      <c r="K2461" s="99">
        <v>96600000</v>
      </c>
      <c r="L2461" s="13"/>
      <c r="M2461" s="17"/>
      <c r="N2461" s="17"/>
      <c r="O2461" s="17"/>
      <c r="P2461" s="17"/>
      <c r="Q2461" s="17"/>
      <c r="R2461" s="17"/>
      <c r="S2461" s="17"/>
      <c r="T2461" s="17"/>
      <c r="U2461" s="17"/>
      <c r="V2461" s="17"/>
      <c r="W2461" s="17"/>
      <c r="X2461" s="17"/>
      <c r="Y2461" s="17">
        <v>100</v>
      </c>
      <c r="Z2461" s="17">
        <v>100</v>
      </c>
      <c r="AA2461" s="77">
        <v>94040100</v>
      </c>
      <c r="AB2461" s="229">
        <f t="shared" si="801"/>
        <v>97.350000000000009</v>
      </c>
      <c r="AC2461" s="77">
        <f t="shared" si="800"/>
        <v>94040100</v>
      </c>
      <c r="AD2461" s="229">
        <f t="shared" si="802"/>
        <v>97.350000000000009</v>
      </c>
    </row>
    <row r="2462" spans="1:30" ht="27">
      <c r="B2462" s="13">
        <f>B2461+1</f>
        <v>8</v>
      </c>
      <c r="C2462" s="74" t="s">
        <v>568</v>
      </c>
      <c r="D2462" s="74" t="s">
        <v>1402</v>
      </c>
      <c r="E2462" s="204"/>
      <c r="F2462" s="204"/>
      <c r="G2462" s="193"/>
      <c r="H2462" s="89"/>
      <c r="I2462" s="89"/>
      <c r="J2462" s="15">
        <v>10000000</v>
      </c>
      <c r="K2462" s="99">
        <v>10000000</v>
      </c>
      <c r="L2462" s="459"/>
      <c r="M2462" s="22"/>
      <c r="N2462" s="17"/>
      <c r="O2462" s="17"/>
      <c r="P2462" s="17"/>
      <c r="Q2462" s="17"/>
      <c r="R2462" s="17"/>
      <c r="S2462" s="17"/>
      <c r="T2462" s="17"/>
      <c r="U2462" s="17"/>
      <c r="V2462" s="17"/>
      <c r="W2462" s="17"/>
      <c r="X2462" s="17"/>
      <c r="Y2462" s="17">
        <f t="shared" si="804"/>
        <v>100</v>
      </c>
      <c r="Z2462" s="17">
        <v>100</v>
      </c>
      <c r="AA2462" s="77">
        <v>9450000</v>
      </c>
      <c r="AB2462" s="229">
        <f t="shared" si="801"/>
        <v>94.5</v>
      </c>
      <c r="AC2462" s="77">
        <f t="shared" si="800"/>
        <v>9450000</v>
      </c>
      <c r="AD2462" s="229">
        <f t="shared" si="802"/>
        <v>94.5</v>
      </c>
    </row>
    <row r="2463" spans="1:30" ht="40.5">
      <c r="B2463" s="13">
        <f>B2462+1</f>
        <v>9</v>
      </c>
      <c r="C2463" s="74" t="s">
        <v>914</v>
      </c>
      <c r="D2463" s="74" t="s">
        <v>1403</v>
      </c>
      <c r="E2463" s="204"/>
      <c r="F2463" s="204"/>
      <c r="G2463" s="193"/>
      <c r="H2463" s="89"/>
      <c r="I2463" s="89"/>
      <c r="J2463" s="15">
        <v>2626000</v>
      </c>
      <c r="K2463" s="99">
        <v>9046000</v>
      </c>
      <c r="L2463" s="13"/>
      <c r="M2463" s="17"/>
      <c r="N2463" s="17"/>
      <c r="O2463" s="17"/>
      <c r="P2463" s="17"/>
      <c r="Q2463" s="17"/>
      <c r="R2463" s="17"/>
      <c r="S2463" s="17"/>
      <c r="T2463" s="17"/>
      <c r="U2463" s="17"/>
      <c r="V2463" s="17"/>
      <c r="W2463" s="17"/>
      <c r="X2463" s="17"/>
      <c r="Y2463" s="17">
        <v>100</v>
      </c>
      <c r="Z2463" s="17">
        <v>100</v>
      </c>
      <c r="AA2463" s="77">
        <v>7198040</v>
      </c>
      <c r="AB2463" s="229">
        <f t="shared" si="801"/>
        <v>79.571523325226622</v>
      </c>
      <c r="AC2463" s="77">
        <f t="shared" si="800"/>
        <v>7198040</v>
      </c>
      <c r="AD2463" s="229">
        <f t="shared" si="802"/>
        <v>79.571523325226622</v>
      </c>
    </row>
    <row r="2464" spans="1:30">
      <c r="B2464" s="13">
        <f t="shared" si="803"/>
        <v>10</v>
      </c>
      <c r="C2464" s="74" t="s">
        <v>1404</v>
      </c>
      <c r="D2464" s="74" t="s">
        <v>1405</v>
      </c>
      <c r="E2464" s="204"/>
      <c r="F2464" s="204"/>
      <c r="G2464" s="193"/>
      <c r="H2464" s="89"/>
      <c r="I2464" s="89"/>
      <c r="J2464" s="15">
        <v>39074000</v>
      </c>
      <c r="K2464" s="99">
        <v>57974000</v>
      </c>
      <c r="L2464" s="13"/>
      <c r="M2464" s="17"/>
      <c r="N2464" s="17"/>
      <c r="O2464" s="17"/>
      <c r="P2464" s="17"/>
      <c r="Q2464" s="17"/>
      <c r="R2464" s="17"/>
      <c r="S2464" s="17"/>
      <c r="T2464" s="17"/>
      <c r="U2464" s="17"/>
      <c r="V2464" s="17"/>
      <c r="W2464" s="17"/>
      <c r="X2464" s="17"/>
      <c r="Y2464" s="17">
        <v>100</v>
      </c>
      <c r="Z2464" s="17">
        <v>100</v>
      </c>
      <c r="AA2464" s="77">
        <v>57566000</v>
      </c>
      <c r="AB2464" s="229">
        <f t="shared" si="801"/>
        <v>99.296236243833448</v>
      </c>
      <c r="AC2464" s="77">
        <f t="shared" si="800"/>
        <v>57566000</v>
      </c>
      <c r="AD2464" s="229">
        <f t="shared" si="802"/>
        <v>99.296236243833448</v>
      </c>
    </row>
    <row r="2465" spans="2:30" ht="27">
      <c r="B2465" s="13">
        <f>B2464+1</f>
        <v>11</v>
      </c>
      <c r="C2465" s="74" t="s">
        <v>1406</v>
      </c>
      <c r="D2465" s="74" t="s">
        <v>1407</v>
      </c>
      <c r="E2465" s="204"/>
      <c r="F2465" s="204"/>
      <c r="G2465" s="193"/>
      <c r="H2465" s="89"/>
      <c r="I2465" s="89"/>
      <c r="J2465" s="15">
        <v>73715000</v>
      </c>
      <c r="K2465" s="99">
        <v>77025000</v>
      </c>
      <c r="L2465" s="13"/>
      <c r="M2465" s="17"/>
      <c r="N2465" s="17"/>
      <c r="O2465" s="17"/>
      <c r="P2465" s="17"/>
      <c r="Q2465" s="17"/>
      <c r="R2465" s="17"/>
      <c r="S2465" s="17"/>
      <c r="T2465" s="17"/>
      <c r="U2465" s="17"/>
      <c r="V2465" s="17"/>
      <c r="W2465" s="17"/>
      <c r="X2465" s="17"/>
      <c r="Y2465" s="17">
        <v>100</v>
      </c>
      <c r="Z2465" s="17">
        <v>100</v>
      </c>
      <c r="AA2465" s="77">
        <v>77025000</v>
      </c>
      <c r="AB2465" s="229">
        <f t="shared" si="801"/>
        <v>100</v>
      </c>
      <c r="AC2465" s="77">
        <f t="shared" si="800"/>
        <v>77025000</v>
      </c>
      <c r="AD2465" s="229">
        <f t="shared" si="802"/>
        <v>100</v>
      </c>
    </row>
    <row r="2466" spans="2:30">
      <c r="B2466" s="13">
        <f>B2465+1</f>
        <v>12</v>
      </c>
      <c r="C2466" s="58" t="s">
        <v>1408</v>
      </c>
      <c r="D2466" s="75" t="s">
        <v>2117</v>
      </c>
      <c r="E2466" s="204"/>
      <c r="F2466" s="204"/>
      <c r="G2466" s="193"/>
      <c r="H2466" s="89"/>
      <c r="I2466" s="89"/>
      <c r="J2466" s="15">
        <v>62018000</v>
      </c>
      <c r="K2466" s="99">
        <v>62018000</v>
      </c>
      <c r="L2466" s="13"/>
      <c r="M2466" s="17"/>
      <c r="N2466" s="17"/>
      <c r="O2466" s="17"/>
      <c r="P2466" s="17"/>
      <c r="Q2466" s="17"/>
      <c r="R2466" s="17"/>
      <c r="S2466" s="17"/>
      <c r="T2466" s="17"/>
      <c r="U2466" s="17"/>
      <c r="V2466" s="17"/>
      <c r="W2466" s="17"/>
      <c r="X2466" s="17"/>
      <c r="Y2466" s="17">
        <f t="shared" si="804"/>
        <v>100</v>
      </c>
      <c r="Z2466" s="17">
        <v>100</v>
      </c>
      <c r="AA2466" s="77">
        <v>35000000</v>
      </c>
      <c r="AB2466" s="229">
        <f t="shared" si="801"/>
        <v>56.435228482053603</v>
      </c>
      <c r="AC2466" s="230">
        <f t="shared" si="800"/>
        <v>35000000</v>
      </c>
      <c r="AD2466" s="229">
        <f t="shared" si="802"/>
        <v>56.435228482053603</v>
      </c>
    </row>
    <row r="2467" spans="2:30">
      <c r="B2467" s="13">
        <f t="shared" si="803"/>
        <v>13</v>
      </c>
      <c r="C2467" s="257" t="s">
        <v>1409</v>
      </c>
      <c r="D2467" s="262" t="s">
        <v>1410</v>
      </c>
      <c r="E2467" s="204"/>
      <c r="F2467" s="204"/>
      <c r="G2467" s="193"/>
      <c r="H2467" s="89"/>
      <c r="I2467" s="89"/>
      <c r="J2467" s="15">
        <v>25000000</v>
      </c>
      <c r="K2467" s="99">
        <v>196542000</v>
      </c>
      <c r="L2467" s="13"/>
      <c r="M2467" s="17"/>
      <c r="N2467" s="17"/>
      <c r="O2467" s="17"/>
      <c r="P2467" s="17"/>
      <c r="Q2467" s="17"/>
      <c r="R2467" s="17"/>
      <c r="S2467" s="17"/>
      <c r="T2467" s="17"/>
      <c r="U2467" s="17"/>
      <c r="V2467" s="17"/>
      <c r="W2467" s="17"/>
      <c r="X2467" s="17"/>
      <c r="Y2467" s="17">
        <v>100</v>
      </c>
      <c r="Z2467" s="17">
        <v>100</v>
      </c>
      <c r="AA2467" s="77">
        <v>196542000</v>
      </c>
      <c r="AB2467" s="229">
        <f t="shared" si="801"/>
        <v>100</v>
      </c>
      <c r="AC2467" s="77">
        <f t="shared" ref="AC2467:AC2474" si="805">AA2467</f>
        <v>196542000</v>
      </c>
      <c r="AD2467" s="229">
        <f t="shared" si="802"/>
        <v>100</v>
      </c>
    </row>
    <row r="2468" spans="2:30">
      <c r="B2468" s="13">
        <f t="shared" si="803"/>
        <v>14</v>
      </c>
      <c r="C2468" s="58" t="s">
        <v>1411</v>
      </c>
      <c r="D2468" s="21" t="s">
        <v>1412</v>
      </c>
      <c r="E2468" s="204"/>
      <c r="F2468" s="204"/>
      <c r="G2468" s="193"/>
      <c r="H2468" s="89"/>
      <c r="I2468" s="89"/>
      <c r="J2468" s="15">
        <v>10865000</v>
      </c>
      <c r="K2468" s="99">
        <v>10865000</v>
      </c>
      <c r="L2468" s="13"/>
      <c r="M2468" s="17"/>
      <c r="N2468" s="17"/>
      <c r="O2468" s="17"/>
      <c r="P2468" s="17"/>
      <c r="Q2468" s="17"/>
      <c r="R2468" s="17"/>
      <c r="S2468" s="17"/>
      <c r="T2468" s="17"/>
      <c r="U2468" s="17"/>
      <c r="V2468" s="17"/>
      <c r="W2468" s="17"/>
      <c r="X2468" s="17"/>
      <c r="Y2468" s="17">
        <v>100</v>
      </c>
      <c r="Z2468" s="17">
        <v>100</v>
      </c>
      <c r="AA2468" s="77">
        <v>10865000</v>
      </c>
      <c r="AB2468" s="229">
        <f t="shared" si="801"/>
        <v>100</v>
      </c>
      <c r="AC2468" s="77">
        <f t="shared" si="805"/>
        <v>10865000</v>
      </c>
      <c r="AD2468" s="229">
        <f t="shared" si="802"/>
        <v>100</v>
      </c>
    </row>
    <row r="2469" spans="2:30">
      <c r="B2469" s="13">
        <f t="shared" si="803"/>
        <v>15</v>
      </c>
      <c r="C2469" s="257" t="s">
        <v>1413</v>
      </c>
      <c r="D2469" s="21" t="s">
        <v>1414</v>
      </c>
      <c r="E2469" s="204"/>
      <c r="F2469" s="204"/>
      <c r="G2469" s="193"/>
      <c r="H2469" s="89"/>
      <c r="I2469" s="89"/>
      <c r="J2469" s="15">
        <v>70000000</v>
      </c>
      <c r="K2469" s="99">
        <v>70000000</v>
      </c>
      <c r="L2469" s="13"/>
      <c r="M2469" s="17"/>
      <c r="N2469" s="17"/>
      <c r="O2469" s="17"/>
      <c r="P2469" s="17"/>
      <c r="Q2469" s="17"/>
      <c r="R2469" s="17"/>
      <c r="S2469" s="17"/>
      <c r="T2469" s="17"/>
      <c r="U2469" s="17"/>
      <c r="V2469" s="17"/>
      <c r="W2469" s="17"/>
      <c r="X2469" s="17"/>
      <c r="Y2469" s="17">
        <v>100</v>
      </c>
      <c r="Z2469" s="98">
        <v>100</v>
      </c>
      <c r="AA2469" s="77">
        <v>69762000</v>
      </c>
      <c r="AB2469" s="229">
        <f t="shared" si="801"/>
        <v>99.660000000000011</v>
      </c>
      <c r="AC2469" s="77">
        <f t="shared" si="805"/>
        <v>69762000</v>
      </c>
      <c r="AD2469" s="229">
        <f t="shared" si="802"/>
        <v>99.660000000000011</v>
      </c>
    </row>
    <row r="2470" spans="2:30">
      <c r="B2470" s="13">
        <f t="shared" si="803"/>
        <v>16</v>
      </c>
      <c r="C2470" s="58" t="s">
        <v>1415</v>
      </c>
      <c r="D2470" s="21" t="s">
        <v>1416</v>
      </c>
      <c r="E2470" s="204"/>
      <c r="F2470" s="204"/>
      <c r="G2470" s="193"/>
      <c r="H2470" s="89"/>
      <c r="I2470" s="89"/>
      <c r="J2470" s="15">
        <v>32880000</v>
      </c>
      <c r="K2470" s="99">
        <v>32880000</v>
      </c>
      <c r="L2470" s="13"/>
      <c r="M2470" s="17"/>
      <c r="N2470" s="17"/>
      <c r="O2470" s="17"/>
      <c r="P2470" s="17"/>
      <c r="Q2470" s="17"/>
      <c r="R2470" s="17"/>
      <c r="S2470" s="17"/>
      <c r="T2470" s="17"/>
      <c r="U2470" s="17"/>
      <c r="V2470" s="17"/>
      <c r="W2470" s="17"/>
      <c r="X2470" s="17"/>
      <c r="Y2470" s="17">
        <v>100</v>
      </c>
      <c r="Z2470" s="149">
        <v>100</v>
      </c>
      <c r="AA2470" s="77">
        <v>24061584</v>
      </c>
      <c r="AB2470" s="229">
        <f t="shared" si="801"/>
        <v>73.180000000000007</v>
      </c>
      <c r="AC2470" s="77">
        <f t="shared" si="805"/>
        <v>24061584</v>
      </c>
      <c r="AD2470" s="229">
        <f t="shared" si="802"/>
        <v>73.180000000000007</v>
      </c>
    </row>
    <row r="2471" spans="2:30" ht="25.5">
      <c r="B2471" s="13">
        <f t="shared" si="803"/>
        <v>17</v>
      </c>
      <c r="C2471" s="257" t="s">
        <v>1417</v>
      </c>
      <c r="D2471" s="21" t="s">
        <v>1418</v>
      </c>
      <c r="E2471" s="204"/>
      <c r="F2471" s="204"/>
      <c r="G2471" s="193"/>
      <c r="H2471" s="89"/>
      <c r="I2471" s="89"/>
      <c r="J2471" s="15">
        <v>35000000</v>
      </c>
      <c r="K2471" s="99">
        <v>35000000</v>
      </c>
      <c r="L2471" s="13"/>
      <c r="M2471" s="17"/>
      <c r="N2471" s="17"/>
      <c r="O2471" s="17"/>
      <c r="P2471" s="17"/>
      <c r="Q2471" s="17"/>
      <c r="R2471" s="17"/>
      <c r="S2471" s="17"/>
      <c r="T2471" s="17"/>
      <c r="U2471" s="17"/>
      <c r="V2471" s="17"/>
      <c r="W2471" s="17"/>
      <c r="X2471" s="17"/>
      <c r="Y2471" s="17">
        <v>100</v>
      </c>
      <c r="Z2471" s="149">
        <v>100</v>
      </c>
      <c r="AA2471" s="77">
        <v>34890000</v>
      </c>
      <c r="AB2471" s="229">
        <f t="shared" si="801"/>
        <v>99.685714285714283</v>
      </c>
      <c r="AC2471" s="77">
        <f t="shared" si="805"/>
        <v>34890000</v>
      </c>
      <c r="AD2471" s="229">
        <f t="shared" si="802"/>
        <v>99.685714285714283</v>
      </c>
    </row>
    <row r="2472" spans="2:30">
      <c r="B2472" s="13">
        <f t="shared" si="803"/>
        <v>18</v>
      </c>
      <c r="C2472" s="257" t="s">
        <v>2362</v>
      </c>
      <c r="D2472" s="58" t="s">
        <v>2365</v>
      </c>
      <c r="E2472" s="204"/>
      <c r="F2472" s="204"/>
      <c r="G2472" s="193"/>
      <c r="H2472" s="89"/>
      <c r="I2472" s="89"/>
      <c r="J2472" s="15"/>
      <c r="K2472" s="99">
        <v>41290000</v>
      </c>
      <c r="L2472" s="13"/>
      <c r="M2472" s="17"/>
      <c r="N2472" s="17"/>
      <c r="O2472" s="17"/>
      <c r="P2472" s="17"/>
      <c r="Q2472" s="17"/>
      <c r="R2472" s="17"/>
      <c r="S2472" s="17"/>
      <c r="T2472" s="17"/>
      <c r="U2472" s="17"/>
      <c r="V2472" s="17"/>
      <c r="W2472" s="17"/>
      <c r="X2472" s="17"/>
      <c r="Y2472" s="17">
        <v>100</v>
      </c>
      <c r="Z2472" s="149">
        <v>100</v>
      </c>
      <c r="AA2472" s="77">
        <v>40208202</v>
      </c>
      <c r="AB2472" s="229">
        <f t="shared" si="801"/>
        <v>97.38</v>
      </c>
      <c r="AC2472" s="77">
        <f t="shared" si="805"/>
        <v>40208202</v>
      </c>
      <c r="AD2472" s="229">
        <f t="shared" si="802"/>
        <v>97.38</v>
      </c>
    </row>
    <row r="2473" spans="2:30" ht="25.5">
      <c r="B2473" s="13">
        <f t="shared" si="803"/>
        <v>19</v>
      </c>
      <c r="C2473" s="257" t="s">
        <v>2363</v>
      </c>
      <c r="D2473" s="75" t="s">
        <v>2366</v>
      </c>
      <c r="E2473" s="204"/>
      <c r="F2473" s="204"/>
      <c r="G2473" s="193"/>
      <c r="H2473" s="89"/>
      <c r="I2473" s="89"/>
      <c r="J2473" s="15"/>
      <c r="K2473" s="99">
        <v>208542000</v>
      </c>
      <c r="L2473" s="13"/>
      <c r="M2473" s="17"/>
      <c r="N2473" s="17"/>
      <c r="O2473" s="17"/>
      <c r="P2473" s="17"/>
      <c r="Q2473" s="17"/>
      <c r="R2473" s="17"/>
      <c r="S2473" s="17"/>
      <c r="T2473" s="17"/>
      <c r="U2473" s="17"/>
      <c r="V2473" s="17"/>
      <c r="W2473" s="17"/>
      <c r="X2473" s="17"/>
      <c r="Y2473" s="17">
        <v>30</v>
      </c>
      <c r="Z2473" s="149">
        <v>30</v>
      </c>
      <c r="AA2473" s="77">
        <v>208500292</v>
      </c>
      <c r="AB2473" s="229">
        <f t="shared" si="801"/>
        <v>99.980000191807889</v>
      </c>
      <c r="AC2473" s="77">
        <f t="shared" si="805"/>
        <v>208500292</v>
      </c>
      <c r="AD2473" s="229">
        <f t="shared" si="802"/>
        <v>99.980000191807889</v>
      </c>
    </row>
    <row r="2474" spans="2:30">
      <c r="B2474" s="13">
        <f t="shared" si="803"/>
        <v>20</v>
      </c>
      <c r="C2474" s="257" t="s">
        <v>2364</v>
      </c>
      <c r="D2474" s="58" t="s">
        <v>2367</v>
      </c>
      <c r="E2474" s="204"/>
      <c r="F2474" s="204"/>
      <c r="G2474" s="193"/>
      <c r="H2474" s="89"/>
      <c r="I2474" s="89"/>
      <c r="J2474" s="15"/>
      <c r="K2474" s="99">
        <v>148050000</v>
      </c>
      <c r="L2474" s="13"/>
      <c r="M2474" s="17"/>
      <c r="N2474" s="17"/>
      <c r="O2474" s="17"/>
      <c r="P2474" s="17"/>
      <c r="Q2474" s="17"/>
      <c r="R2474" s="17"/>
      <c r="S2474" s="17"/>
      <c r="T2474" s="17"/>
      <c r="U2474" s="17"/>
      <c r="V2474" s="17"/>
      <c r="W2474" s="17"/>
      <c r="X2474" s="17"/>
      <c r="Y2474" s="17">
        <v>100</v>
      </c>
      <c r="Z2474" s="149">
        <v>100</v>
      </c>
      <c r="AA2474" s="77">
        <v>148008000</v>
      </c>
      <c r="AB2474" s="229">
        <f t="shared" si="801"/>
        <v>99.971631205673759</v>
      </c>
      <c r="AC2474" s="77">
        <f t="shared" si="805"/>
        <v>148008000</v>
      </c>
      <c r="AD2474" s="229">
        <f t="shared" si="802"/>
        <v>99.971631205673759</v>
      </c>
    </row>
    <row r="2475" spans="2:30" ht="27">
      <c r="B2475" s="13"/>
      <c r="C2475" s="86" t="s">
        <v>1419</v>
      </c>
      <c r="D2475" s="86" t="s">
        <v>1420</v>
      </c>
      <c r="E2475" s="485"/>
      <c r="F2475" s="485"/>
      <c r="G2475" s="441"/>
      <c r="H2475" s="87"/>
      <c r="I2475" s="87"/>
      <c r="J2475" s="88"/>
      <c r="K2475" s="88"/>
      <c r="L2475" s="13"/>
      <c r="M2475" s="17"/>
      <c r="N2475" s="17"/>
      <c r="O2475" s="17"/>
      <c r="P2475" s="17"/>
      <c r="Q2475" s="17"/>
      <c r="R2475" s="17"/>
      <c r="S2475" s="17"/>
      <c r="T2475" s="17"/>
      <c r="U2475" s="17"/>
      <c r="V2475" s="17"/>
      <c r="W2475" s="17"/>
      <c r="X2475" s="17"/>
      <c r="Y2475" s="17"/>
      <c r="Z2475" s="98"/>
      <c r="AA2475" s="77"/>
      <c r="AB2475" s="229"/>
      <c r="AC2475" s="230"/>
      <c r="AD2475" s="229"/>
    </row>
    <row r="2476" spans="2:30">
      <c r="B2476" s="13">
        <f>B2474+1</f>
        <v>21</v>
      </c>
      <c r="C2476" s="74" t="s">
        <v>219</v>
      </c>
      <c r="D2476" s="74" t="s">
        <v>1421</v>
      </c>
      <c r="E2476" s="204"/>
      <c r="F2476" s="204"/>
      <c r="G2476" s="193"/>
      <c r="H2476" s="89"/>
      <c r="I2476" s="89"/>
      <c r="J2476" s="15">
        <v>119344000</v>
      </c>
      <c r="K2476" s="99">
        <v>153844000</v>
      </c>
      <c r="L2476" s="448"/>
      <c r="M2476" s="83"/>
      <c r="N2476" s="17"/>
      <c r="O2476" s="17"/>
      <c r="P2476" s="17"/>
      <c r="Q2476" s="17"/>
      <c r="R2476" s="17"/>
      <c r="S2476" s="17"/>
      <c r="T2476" s="17"/>
      <c r="U2476" s="17"/>
      <c r="V2476" s="17"/>
      <c r="W2476" s="17"/>
      <c r="X2476" s="17"/>
      <c r="Y2476" s="19">
        <v>100</v>
      </c>
      <c r="Z2476" s="19">
        <v>100</v>
      </c>
      <c r="AA2476" s="77">
        <v>153844000</v>
      </c>
      <c r="AB2476" s="229">
        <f t="shared" si="801"/>
        <v>100</v>
      </c>
      <c r="AC2476" s="77">
        <f t="shared" ref="AC2476:AC2483" si="806">AA2476</f>
        <v>153844000</v>
      </c>
      <c r="AD2476" s="229">
        <f t="shared" si="802"/>
        <v>100</v>
      </c>
    </row>
    <row r="2477" spans="2:30">
      <c r="B2477" s="13">
        <f t="shared" si="803"/>
        <v>22</v>
      </c>
      <c r="C2477" s="74" t="s">
        <v>221</v>
      </c>
      <c r="D2477" s="74" t="s">
        <v>1422</v>
      </c>
      <c r="E2477" s="204"/>
      <c r="F2477" s="204"/>
      <c r="G2477" s="193"/>
      <c r="H2477" s="89"/>
      <c r="I2477" s="89"/>
      <c r="J2477" s="15">
        <v>18915000</v>
      </c>
      <c r="K2477" s="99">
        <v>18915000</v>
      </c>
      <c r="L2477" s="13"/>
      <c r="M2477" s="17"/>
      <c r="N2477" s="17"/>
      <c r="O2477" s="17"/>
      <c r="P2477" s="17"/>
      <c r="Q2477" s="17"/>
      <c r="R2477" s="17"/>
      <c r="S2477" s="17"/>
      <c r="T2477" s="17"/>
      <c r="U2477" s="17"/>
      <c r="V2477" s="17"/>
      <c r="W2477" s="17"/>
      <c r="X2477" s="17"/>
      <c r="Y2477" s="17">
        <v>100</v>
      </c>
      <c r="Z2477" s="149">
        <v>100</v>
      </c>
      <c r="AA2477" s="77">
        <v>18915000</v>
      </c>
      <c r="AB2477" s="229">
        <f t="shared" si="801"/>
        <v>100</v>
      </c>
      <c r="AC2477" s="77">
        <f t="shared" si="806"/>
        <v>18915000</v>
      </c>
      <c r="AD2477" s="229">
        <f t="shared" si="802"/>
        <v>100</v>
      </c>
    </row>
    <row r="2478" spans="2:30">
      <c r="B2478" s="13">
        <f t="shared" si="803"/>
        <v>23</v>
      </c>
      <c r="C2478" s="74" t="s">
        <v>600</v>
      </c>
      <c r="D2478" s="74" t="s">
        <v>1423</v>
      </c>
      <c r="E2478" s="204"/>
      <c r="F2478" s="204"/>
      <c r="G2478" s="193"/>
      <c r="H2478" s="89"/>
      <c r="I2478" s="89"/>
      <c r="J2478" s="15">
        <v>297923000</v>
      </c>
      <c r="K2478" s="99">
        <v>327533000</v>
      </c>
      <c r="L2478" s="448"/>
      <c r="M2478" s="22"/>
      <c r="N2478" s="17"/>
      <c r="O2478" s="50"/>
      <c r="P2478" s="17"/>
      <c r="Q2478" s="17"/>
      <c r="R2478" s="17"/>
      <c r="S2478" s="17"/>
      <c r="T2478" s="17"/>
      <c r="U2478" s="17"/>
      <c r="V2478" s="17"/>
      <c r="W2478" s="17"/>
      <c r="X2478" s="17"/>
      <c r="Y2478" s="461">
        <v>100</v>
      </c>
      <c r="Z2478" s="461">
        <v>100</v>
      </c>
      <c r="AA2478" s="77">
        <v>318248000</v>
      </c>
      <c r="AB2478" s="229">
        <f t="shared" si="801"/>
        <v>97.165171143060391</v>
      </c>
      <c r="AC2478" s="77">
        <f t="shared" si="806"/>
        <v>318248000</v>
      </c>
      <c r="AD2478" s="229">
        <f t="shared" si="802"/>
        <v>97.165171143060391</v>
      </c>
    </row>
    <row r="2479" spans="2:30">
      <c r="B2479" s="13">
        <f>B2478+1</f>
        <v>24</v>
      </c>
      <c r="C2479" s="74" t="s">
        <v>666</v>
      </c>
      <c r="D2479" s="74" t="s">
        <v>1424</v>
      </c>
      <c r="E2479" s="204"/>
      <c r="F2479" s="204"/>
      <c r="G2479" s="193"/>
      <c r="H2479" s="89"/>
      <c r="I2479" s="89"/>
      <c r="J2479" s="15">
        <v>6800000</v>
      </c>
      <c r="K2479" s="99">
        <v>6800000</v>
      </c>
      <c r="L2479" s="13"/>
      <c r="M2479" s="17"/>
      <c r="N2479" s="17"/>
      <c r="O2479" s="17"/>
      <c r="P2479" s="17"/>
      <c r="Q2479" s="17"/>
      <c r="R2479" s="17"/>
      <c r="S2479" s="17"/>
      <c r="T2479" s="17"/>
      <c r="U2479" s="17"/>
      <c r="V2479" s="17"/>
      <c r="W2479" s="17"/>
      <c r="X2479" s="17"/>
      <c r="Y2479" s="17">
        <v>5</v>
      </c>
      <c r="Z2479" s="149">
        <v>5</v>
      </c>
      <c r="AA2479" s="77">
        <v>0</v>
      </c>
      <c r="AB2479" s="229">
        <f t="shared" si="801"/>
        <v>0</v>
      </c>
      <c r="AC2479" s="77">
        <f t="shared" si="806"/>
        <v>0</v>
      </c>
      <c r="AD2479" s="229">
        <f t="shared" si="802"/>
        <v>0</v>
      </c>
    </row>
    <row r="2480" spans="2:30">
      <c r="B2480" s="13">
        <f t="shared" si="803"/>
        <v>25</v>
      </c>
      <c r="C2480" s="263" t="s">
        <v>568</v>
      </c>
      <c r="D2480" s="21" t="s">
        <v>1425</v>
      </c>
      <c r="E2480" s="204"/>
      <c r="F2480" s="204"/>
      <c r="G2480" s="193"/>
      <c r="H2480" s="89"/>
      <c r="I2480" s="89"/>
      <c r="J2480" s="15">
        <v>26076000</v>
      </c>
      <c r="K2480" s="99">
        <v>26076000</v>
      </c>
      <c r="L2480" s="13"/>
      <c r="M2480" s="17"/>
      <c r="N2480" s="17"/>
      <c r="O2480" s="17"/>
      <c r="P2480" s="17"/>
      <c r="Q2480" s="17"/>
      <c r="R2480" s="17"/>
      <c r="S2480" s="17"/>
      <c r="T2480" s="17"/>
      <c r="U2480" s="17"/>
      <c r="V2480" s="17"/>
      <c r="W2480" s="17"/>
      <c r="X2480" s="17"/>
      <c r="Y2480" s="17">
        <v>100</v>
      </c>
      <c r="Z2480" s="149">
        <v>100</v>
      </c>
      <c r="AA2480" s="77">
        <v>26076000</v>
      </c>
      <c r="AB2480" s="229">
        <f t="shared" si="801"/>
        <v>100</v>
      </c>
      <c r="AC2480" s="77">
        <f t="shared" si="806"/>
        <v>26076000</v>
      </c>
      <c r="AD2480" s="229">
        <f t="shared" si="802"/>
        <v>100</v>
      </c>
    </row>
    <row r="2481" spans="2:34">
      <c r="B2481" s="13">
        <f>B2480+1</f>
        <v>26</v>
      </c>
      <c r="C2481" s="263" t="s">
        <v>910</v>
      </c>
      <c r="D2481" s="21" t="s">
        <v>1426</v>
      </c>
      <c r="E2481" s="204"/>
      <c r="F2481" s="204"/>
      <c r="G2481" s="193"/>
      <c r="H2481" s="89"/>
      <c r="I2481" s="89"/>
      <c r="J2481" s="15">
        <v>32319000</v>
      </c>
      <c r="K2481" s="99">
        <v>32319000</v>
      </c>
      <c r="L2481" s="13"/>
      <c r="M2481" s="17"/>
      <c r="N2481" s="17"/>
      <c r="O2481" s="17"/>
      <c r="P2481" s="17"/>
      <c r="Q2481" s="17"/>
      <c r="R2481" s="17"/>
      <c r="S2481" s="17"/>
      <c r="T2481" s="17"/>
      <c r="U2481" s="17"/>
      <c r="V2481" s="17"/>
      <c r="W2481" s="17"/>
      <c r="X2481" s="17"/>
      <c r="Y2481" s="17">
        <v>100</v>
      </c>
      <c r="Z2481" s="149">
        <v>100</v>
      </c>
      <c r="AA2481" s="77">
        <v>32318500</v>
      </c>
      <c r="AB2481" s="229">
        <f t="shared" si="801"/>
        <v>99.998452922429522</v>
      </c>
      <c r="AC2481" s="77">
        <f t="shared" si="806"/>
        <v>32318500</v>
      </c>
      <c r="AD2481" s="229">
        <f t="shared" si="802"/>
        <v>99.998452922429522</v>
      </c>
    </row>
    <row r="2482" spans="2:34">
      <c r="B2482" s="13">
        <f t="shared" si="803"/>
        <v>27</v>
      </c>
      <c r="C2482" s="263" t="s">
        <v>912</v>
      </c>
      <c r="D2482" s="21" t="s">
        <v>1427</v>
      </c>
      <c r="E2482" s="204"/>
      <c r="F2482" s="204"/>
      <c r="G2482" s="193"/>
      <c r="H2482" s="89"/>
      <c r="I2482" s="89"/>
      <c r="J2482" s="15">
        <v>19650000</v>
      </c>
      <c r="K2482" s="99">
        <v>19650000</v>
      </c>
      <c r="L2482" s="13"/>
      <c r="M2482" s="17"/>
      <c r="N2482" s="17"/>
      <c r="O2482" s="17"/>
      <c r="P2482" s="17"/>
      <c r="Q2482" s="17"/>
      <c r="R2482" s="17"/>
      <c r="S2482" s="17"/>
      <c r="T2482" s="17"/>
      <c r="U2482" s="17"/>
      <c r="V2482" s="17"/>
      <c r="W2482" s="17"/>
      <c r="X2482" s="17"/>
      <c r="Y2482" s="17">
        <f t="shared" si="804"/>
        <v>100</v>
      </c>
      <c r="Z2482" s="149">
        <v>100</v>
      </c>
      <c r="AA2482" s="77">
        <v>19650000</v>
      </c>
      <c r="AB2482" s="229">
        <f t="shared" si="801"/>
        <v>100</v>
      </c>
      <c r="AC2482" s="77">
        <f t="shared" si="806"/>
        <v>19650000</v>
      </c>
      <c r="AD2482" s="229">
        <f t="shared" si="802"/>
        <v>100</v>
      </c>
    </row>
    <row r="2483" spans="2:34">
      <c r="B2483" s="13">
        <f t="shared" si="803"/>
        <v>28</v>
      </c>
      <c r="C2483" s="263" t="s">
        <v>914</v>
      </c>
      <c r="D2483" s="17" t="s">
        <v>2368</v>
      </c>
      <c r="E2483" s="204"/>
      <c r="F2483" s="204"/>
      <c r="G2483" s="193"/>
      <c r="H2483" s="89"/>
      <c r="I2483" s="89"/>
      <c r="J2483" s="15"/>
      <c r="K2483" s="99">
        <v>200000000</v>
      </c>
      <c r="L2483" s="13"/>
      <c r="M2483" s="17"/>
      <c r="N2483" s="17"/>
      <c r="O2483" s="17"/>
      <c r="P2483" s="17"/>
      <c r="Q2483" s="17"/>
      <c r="R2483" s="17"/>
      <c r="S2483" s="17"/>
      <c r="T2483" s="17"/>
      <c r="U2483" s="17"/>
      <c r="V2483" s="17"/>
      <c r="W2483" s="17"/>
      <c r="X2483" s="17"/>
      <c r="Y2483" s="17">
        <v>30</v>
      </c>
      <c r="Z2483" s="149">
        <v>30</v>
      </c>
      <c r="AA2483" s="77">
        <v>200000000</v>
      </c>
      <c r="AB2483" s="229">
        <f t="shared" si="801"/>
        <v>100</v>
      </c>
      <c r="AC2483" s="77">
        <f t="shared" si="806"/>
        <v>200000000</v>
      </c>
      <c r="AD2483" s="229">
        <f t="shared" si="802"/>
        <v>100</v>
      </c>
    </row>
    <row r="2484" spans="2:34" ht="27">
      <c r="B2484" s="13"/>
      <c r="C2484" s="86" t="s">
        <v>1428</v>
      </c>
      <c r="D2484" s="86" t="s">
        <v>1429</v>
      </c>
      <c r="E2484" s="485"/>
      <c r="F2484" s="485"/>
      <c r="G2484" s="441"/>
      <c r="H2484" s="87"/>
      <c r="I2484" s="87"/>
      <c r="J2484" s="88"/>
      <c r="K2484" s="88"/>
      <c r="L2484" s="13"/>
      <c r="M2484" s="17"/>
      <c r="N2484" s="17"/>
      <c r="O2484" s="17"/>
      <c r="P2484" s="17"/>
      <c r="Q2484" s="17"/>
      <c r="R2484" s="17"/>
      <c r="S2484" s="17"/>
      <c r="T2484" s="17"/>
      <c r="U2484" s="17"/>
      <c r="V2484" s="17"/>
      <c r="W2484" s="17"/>
      <c r="X2484" s="17"/>
      <c r="Y2484" s="17"/>
      <c r="Z2484" s="149"/>
      <c r="AA2484" s="77"/>
      <c r="AB2484" s="229"/>
      <c r="AC2484" s="230"/>
      <c r="AD2484" s="229"/>
    </row>
    <row r="2485" spans="2:34" ht="21.75" customHeight="1">
      <c r="B2485" s="13">
        <f>B2483+1</f>
        <v>29</v>
      </c>
      <c r="C2485" s="74" t="s">
        <v>375</v>
      </c>
      <c r="D2485" s="74" t="s">
        <v>1430</v>
      </c>
      <c r="E2485" s="204"/>
      <c r="F2485" s="204"/>
      <c r="G2485" s="193"/>
      <c r="H2485" s="89"/>
      <c r="I2485" s="89"/>
      <c r="J2485" s="15">
        <v>181254000</v>
      </c>
      <c r="K2485" s="99">
        <v>190759000</v>
      </c>
      <c r="L2485" s="448"/>
      <c r="M2485" s="17"/>
      <c r="N2485" s="17"/>
      <c r="O2485" s="50"/>
      <c r="P2485" s="50"/>
      <c r="Q2485" s="17"/>
      <c r="R2485" s="17"/>
      <c r="S2485" s="17"/>
      <c r="T2485" s="17"/>
      <c r="U2485" s="17"/>
      <c r="V2485" s="17"/>
      <c r="W2485" s="17"/>
      <c r="X2485" s="17"/>
      <c r="Y2485" s="17">
        <v>100</v>
      </c>
      <c r="Z2485" s="149">
        <v>100</v>
      </c>
      <c r="AA2485" s="77">
        <v>186397000</v>
      </c>
      <c r="AB2485" s="229">
        <f t="shared" si="801"/>
        <v>97.713345110846674</v>
      </c>
      <c r="AC2485" s="77">
        <f t="shared" ref="AC2485:AC2490" si="807">AA2485</f>
        <v>186397000</v>
      </c>
      <c r="AD2485" s="229">
        <f t="shared" si="802"/>
        <v>97.713345110846674</v>
      </c>
    </row>
    <row r="2486" spans="2:34" ht="34.5" customHeight="1">
      <c r="B2486" s="13">
        <f t="shared" si="803"/>
        <v>30</v>
      </c>
      <c r="C2486" s="74" t="s">
        <v>377</v>
      </c>
      <c r="D2486" s="74" t="s">
        <v>1431</v>
      </c>
      <c r="E2486" s="204"/>
      <c r="F2486" s="204"/>
      <c r="G2486" s="193"/>
      <c r="H2486" s="89"/>
      <c r="I2486" s="89"/>
      <c r="J2486" s="15">
        <v>34306000</v>
      </c>
      <c r="K2486" s="99">
        <v>31368000</v>
      </c>
      <c r="L2486" s="13"/>
      <c r="M2486" s="17"/>
      <c r="N2486" s="17"/>
      <c r="O2486" s="17"/>
      <c r="P2486" s="17"/>
      <c r="Q2486" s="17"/>
      <c r="R2486" s="17"/>
      <c r="S2486" s="17"/>
      <c r="T2486" s="17"/>
      <c r="U2486" s="17"/>
      <c r="V2486" s="17"/>
      <c r="W2486" s="17"/>
      <c r="X2486" s="17"/>
      <c r="Y2486" s="17">
        <v>100</v>
      </c>
      <c r="Z2486" s="149">
        <v>100</v>
      </c>
      <c r="AA2486" s="77">
        <v>25796000</v>
      </c>
      <c r="AB2486" s="229">
        <f t="shared" si="801"/>
        <v>82.236674317776078</v>
      </c>
      <c r="AC2486" s="77">
        <f t="shared" si="807"/>
        <v>25796000</v>
      </c>
      <c r="AD2486" s="229">
        <f t="shared" si="802"/>
        <v>82.236674317776078</v>
      </c>
    </row>
    <row r="2487" spans="2:34" ht="21" customHeight="1">
      <c r="B2487" s="13">
        <f t="shared" si="803"/>
        <v>31</v>
      </c>
      <c r="C2487" s="74" t="s">
        <v>614</v>
      </c>
      <c r="D2487" s="74" t="s">
        <v>1432</v>
      </c>
      <c r="E2487" s="204"/>
      <c r="F2487" s="204"/>
      <c r="G2487" s="193"/>
      <c r="H2487" s="89"/>
      <c r="I2487" s="89"/>
      <c r="J2487" s="15">
        <v>24059000</v>
      </c>
      <c r="K2487" s="99">
        <v>26259000</v>
      </c>
      <c r="L2487" s="13"/>
      <c r="M2487" s="17"/>
      <c r="N2487" s="17"/>
      <c r="O2487" s="17"/>
      <c r="P2487" s="17"/>
      <c r="Q2487" s="17"/>
      <c r="R2487" s="17"/>
      <c r="S2487" s="17"/>
      <c r="T2487" s="17"/>
      <c r="U2487" s="17"/>
      <c r="V2487" s="17"/>
      <c r="W2487" s="17"/>
      <c r="X2487" s="17"/>
      <c r="Y2487" s="17">
        <v>100</v>
      </c>
      <c r="Z2487" s="149">
        <v>100</v>
      </c>
      <c r="AA2487" s="77">
        <v>21766500</v>
      </c>
      <c r="AB2487" s="229">
        <f t="shared" si="801"/>
        <v>82.891580029704102</v>
      </c>
      <c r="AC2487" s="77">
        <f t="shared" si="807"/>
        <v>21766500</v>
      </c>
      <c r="AD2487" s="229">
        <f t="shared" si="802"/>
        <v>82.891580029704102</v>
      </c>
    </row>
    <row r="2488" spans="2:34" ht="20.25" customHeight="1">
      <c r="B2488" s="13">
        <f t="shared" si="803"/>
        <v>32</v>
      </c>
      <c r="C2488" s="81">
        <v>16.006</v>
      </c>
      <c r="D2488" s="21" t="s">
        <v>2394</v>
      </c>
      <c r="E2488" s="204"/>
      <c r="F2488" s="204"/>
      <c r="G2488" s="193"/>
      <c r="H2488" s="89"/>
      <c r="I2488" s="89"/>
      <c r="J2488" s="15">
        <v>20607000</v>
      </c>
      <c r="K2488" s="99">
        <v>20607000</v>
      </c>
      <c r="L2488" s="13"/>
      <c r="M2488" s="17"/>
      <c r="N2488" s="17"/>
      <c r="O2488" s="17"/>
      <c r="P2488" s="17"/>
      <c r="Q2488" s="17"/>
      <c r="R2488" s="17"/>
      <c r="S2488" s="17"/>
      <c r="T2488" s="17"/>
      <c r="U2488" s="17"/>
      <c r="V2488" s="17"/>
      <c r="W2488" s="17"/>
      <c r="X2488" s="17"/>
      <c r="Y2488" s="17">
        <v>100</v>
      </c>
      <c r="Z2488" s="149">
        <v>100</v>
      </c>
      <c r="AA2488" s="77">
        <v>16072734</v>
      </c>
      <c r="AB2488" s="229">
        <f t="shared" si="801"/>
        <v>77.996476925316642</v>
      </c>
      <c r="AC2488" s="77">
        <f t="shared" si="807"/>
        <v>16072734</v>
      </c>
      <c r="AD2488" s="229">
        <f t="shared" si="802"/>
        <v>77.996476925316642</v>
      </c>
    </row>
    <row r="2489" spans="2:34">
      <c r="B2489" s="13">
        <f t="shared" si="803"/>
        <v>33</v>
      </c>
      <c r="C2489" s="81">
        <v>16.007000000000001</v>
      </c>
      <c r="D2489" s="21" t="s">
        <v>1433</v>
      </c>
      <c r="E2489" s="204"/>
      <c r="F2489" s="204"/>
      <c r="G2489" s="193"/>
      <c r="H2489" s="89"/>
      <c r="I2489" s="89"/>
      <c r="J2489" s="15">
        <v>81209000</v>
      </c>
      <c r="K2489" s="99">
        <v>81209000</v>
      </c>
      <c r="L2489" s="13"/>
      <c r="M2489" s="17"/>
      <c r="N2489" s="17"/>
      <c r="O2489" s="17"/>
      <c r="P2489" s="17"/>
      <c r="Q2489" s="17"/>
      <c r="R2489" s="17"/>
      <c r="S2489" s="17"/>
      <c r="T2489" s="17"/>
      <c r="U2489" s="17"/>
      <c r="V2489" s="17"/>
      <c r="W2489" s="17"/>
      <c r="X2489" s="17"/>
      <c r="Y2489" s="17">
        <v>100</v>
      </c>
      <c r="Z2489" s="149">
        <v>100</v>
      </c>
      <c r="AA2489" s="77">
        <v>76408000</v>
      </c>
      <c r="AB2489" s="229">
        <f t="shared" si="801"/>
        <v>94.08809368419756</v>
      </c>
      <c r="AC2489" s="77">
        <f t="shared" si="807"/>
        <v>76408000</v>
      </c>
      <c r="AD2489" s="229">
        <f t="shared" si="802"/>
        <v>94.08809368419756</v>
      </c>
    </row>
    <row r="2490" spans="2:34">
      <c r="B2490" s="13">
        <f t="shared" si="803"/>
        <v>34</v>
      </c>
      <c r="C2490" s="81">
        <v>16.007999999999999</v>
      </c>
      <c r="D2490" s="21" t="s">
        <v>1434</v>
      </c>
      <c r="E2490" s="204"/>
      <c r="F2490" s="204"/>
      <c r="G2490" s="193"/>
      <c r="H2490" s="89"/>
      <c r="I2490" s="89"/>
      <c r="J2490" s="15">
        <v>47986000</v>
      </c>
      <c r="K2490" s="99">
        <v>47986000</v>
      </c>
      <c r="L2490" s="13"/>
      <c r="M2490" s="17"/>
      <c r="N2490" s="17"/>
      <c r="O2490" s="17"/>
      <c r="P2490" s="17"/>
      <c r="Q2490" s="17"/>
      <c r="R2490" s="17"/>
      <c r="S2490" s="17"/>
      <c r="T2490" s="17"/>
      <c r="U2490" s="17"/>
      <c r="V2490" s="17"/>
      <c r="W2490" s="17"/>
      <c r="X2490" s="17"/>
      <c r="Y2490" s="17">
        <v>100</v>
      </c>
      <c r="Z2490" s="149">
        <v>100</v>
      </c>
      <c r="AA2490" s="77">
        <v>40621000</v>
      </c>
      <c r="AB2490" s="229">
        <f t="shared" si="801"/>
        <v>84.651773433918237</v>
      </c>
      <c r="AC2490" s="77">
        <f t="shared" si="807"/>
        <v>40621000</v>
      </c>
      <c r="AD2490" s="229">
        <f t="shared" si="802"/>
        <v>84.651773433918237</v>
      </c>
    </row>
    <row r="2491" spans="2:34" ht="27">
      <c r="B2491" s="13"/>
      <c r="C2491" s="86" t="s">
        <v>1394</v>
      </c>
      <c r="D2491" s="86" t="s">
        <v>26</v>
      </c>
      <c r="E2491" s="485"/>
      <c r="F2491" s="485"/>
      <c r="G2491" s="441"/>
      <c r="H2491" s="87"/>
      <c r="I2491" s="87"/>
      <c r="J2491" s="88"/>
      <c r="K2491" s="88"/>
      <c r="L2491" s="13"/>
      <c r="M2491" s="17"/>
      <c r="N2491" s="17"/>
      <c r="O2491" s="17"/>
      <c r="P2491" s="17"/>
      <c r="Q2491" s="17"/>
      <c r="R2491" s="17"/>
      <c r="S2491" s="17"/>
      <c r="T2491" s="17"/>
      <c r="U2491" s="17"/>
      <c r="V2491" s="17"/>
      <c r="W2491" s="17"/>
      <c r="X2491" s="17"/>
      <c r="Y2491" s="17"/>
      <c r="Z2491" s="149"/>
      <c r="AA2491" s="77"/>
      <c r="AB2491" s="229"/>
      <c r="AC2491" s="77"/>
      <c r="AD2491" s="229"/>
    </row>
    <row r="2492" spans="2:34">
      <c r="B2492" s="13">
        <f>B2490+1</f>
        <v>35</v>
      </c>
      <c r="C2492" s="74" t="s">
        <v>203</v>
      </c>
      <c r="D2492" s="74" t="s">
        <v>28</v>
      </c>
      <c r="E2492" s="204"/>
      <c r="F2492" s="204"/>
      <c r="G2492" s="193"/>
      <c r="H2492" s="89"/>
      <c r="I2492" s="89"/>
      <c r="J2492" s="264">
        <v>274891000</v>
      </c>
      <c r="K2492" s="99">
        <v>475045000</v>
      </c>
      <c r="L2492" s="13"/>
      <c r="M2492" s="17"/>
      <c r="N2492" s="17"/>
      <c r="O2492" s="17"/>
      <c r="P2492" s="17"/>
      <c r="Q2492" s="17"/>
      <c r="R2492" s="17"/>
      <c r="S2492" s="17"/>
      <c r="T2492" s="17"/>
      <c r="U2492" s="17"/>
      <c r="V2492" s="17"/>
      <c r="W2492" s="17"/>
      <c r="X2492" s="17"/>
      <c r="Y2492" s="19">
        <v>100</v>
      </c>
      <c r="Z2492" s="98">
        <v>100</v>
      </c>
      <c r="AA2492" s="77">
        <v>408171439</v>
      </c>
      <c r="AB2492" s="229">
        <f t="shared" si="801"/>
        <v>85.922689218916105</v>
      </c>
      <c r="AC2492" s="230">
        <f t="shared" ref="AC2492:AC2498" si="808">AA2492</f>
        <v>408171439</v>
      </c>
      <c r="AD2492" s="229">
        <f t="shared" si="802"/>
        <v>85.922689218916105</v>
      </c>
    </row>
    <row r="2493" spans="2:34">
      <c r="B2493" s="13">
        <f t="shared" si="803"/>
        <v>36</v>
      </c>
      <c r="C2493" s="74" t="s">
        <v>210</v>
      </c>
      <c r="D2493" s="74" t="s">
        <v>30</v>
      </c>
      <c r="E2493" s="204"/>
      <c r="F2493" s="204"/>
      <c r="G2493" s="193"/>
      <c r="H2493" s="89"/>
      <c r="I2493" s="89"/>
      <c r="J2493" s="264">
        <v>129670000</v>
      </c>
      <c r="K2493" s="99">
        <v>130000000</v>
      </c>
      <c r="L2493" s="13"/>
      <c r="M2493" s="17"/>
      <c r="N2493" s="17"/>
      <c r="O2493" s="17"/>
      <c r="P2493" s="17"/>
      <c r="Q2493" s="17"/>
      <c r="R2493" s="17"/>
      <c r="S2493" s="17"/>
      <c r="T2493" s="17"/>
      <c r="U2493" s="17"/>
      <c r="V2493" s="17"/>
      <c r="W2493" s="17"/>
      <c r="X2493" s="17"/>
      <c r="Y2493" s="19">
        <v>100</v>
      </c>
      <c r="Z2493" s="98">
        <v>100</v>
      </c>
      <c r="AA2493" s="77">
        <v>127477766</v>
      </c>
      <c r="AB2493" s="229">
        <f t="shared" si="801"/>
        <v>98.059820000000002</v>
      </c>
      <c r="AC2493" s="230">
        <f t="shared" si="808"/>
        <v>127477766</v>
      </c>
      <c r="AD2493" s="229">
        <f t="shared" si="802"/>
        <v>98.059820000000002</v>
      </c>
      <c r="AG2493" s="265"/>
    </row>
    <row r="2494" spans="2:34">
      <c r="B2494" s="13">
        <f t="shared" si="803"/>
        <v>37</v>
      </c>
      <c r="C2494" s="74" t="s">
        <v>204</v>
      </c>
      <c r="D2494" s="74" t="s">
        <v>32</v>
      </c>
      <c r="E2494" s="204"/>
      <c r="F2494" s="204"/>
      <c r="G2494" s="193"/>
      <c r="H2494" s="89"/>
      <c r="I2494" s="89"/>
      <c r="J2494" s="264">
        <v>213113000</v>
      </c>
      <c r="K2494" s="99">
        <v>246498000</v>
      </c>
      <c r="L2494" s="13"/>
      <c r="M2494" s="17"/>
      <c r="N2494" s="17"/>
      <c r="O2494" s="17"/>
      <c r="P2494" s="17"/>
      <c r="Q2494" s="17"/>
      <c r="R2494" s="17"/>
      <c r="S2494" s="17"/>
      <c r="T2494" s="17"/>
      <c r="U2494" s="17"/>
      <c r="V2494" s="17"/>
      <c r="W2494" s="17"/>
      <c r="X2494" s="17"/>
      <c r="Y2494" s="19">
        <v>100</v>
      </c>
      <c r="Z2494" s="98">
        <v>100</v>
      </c>
      <c r="AA2494" s="77">
        <v>187450750</v>
      </c>
      <c r="AB2494" s="229">
        <f t="shared" si="801"/>
        <v>76.04554600848688</v>
      </c>
      <c r="AC2494" s="230">
        <f t="shared" si="808"/>
        <v>187450750</v>
      </c>
      <c r="AD2494" s="229">
        <f t="shared" si="802"/>
        <v>76.04554600848688</v>
      </c>
    </row>
    <row r="2495" spans="2:34">
      <c r="B2495" s="13">
        <f t="shared" si="803"/>
        <v>38</v>
      </c>
      <c r="C2495" s="74" t="s">
        <v>205</v>
      </c>
      <c r="D2495" s="74" t="s">
        <v>34</v>
      </c>
      <c r="E2495" s="204"/>
      <c r="F2495" s="204"/>
      <c r="G2495" s="193"/>
      <c r="H2495" s="89"/>
      <c r="I2495" s="89"/>
      <c r="J2495" s="264">
        <v>53550000</v>
      </c>
      <c r="K2495" s="99">
        <v>191610000</v>
      </c>
      <c r="L2495" s="448"/>
      <c r="M2495" s="22"/>
      <c r="N2495" s="17"/>
      <c r="O2495" s="17"/>
      <c r="P2495" s="17"/>
      <c r="Q2495" s="17"/>
      <c r="R2495" s="17"/>
      <c r="S2495" s="17"/>
      <c r="T2495" s="17"/>
      <c r="U2495" s="17"/>
      <c r="V2495" s="17"/>
      <c r="W2495" s="17"/>
      <c r="X2495" s="17"/>
      <c r="Y2495" s="19">
        <v>100</v>
      </c>
      <c r="Z2495" s="98">
        <v>100</v>
      </c>
      <c r="AA2495" s="77">
        <v>189281000</v>
      </c>
      <c r="AB2495" s="229">
        <f t="shared" si="801"/>
        <v>98.784510203016538</v>
      </c>
      <c r="AC2495" s="230">
        <f t="shared" si="808"/>
        <v>189281000</v>
      </c>
      <c r="AD2495" s="229">
        <f t="shared" si="802"/>
        <v>98.784510203016538</v>
      </c>
    </row>
    <row r="2496" spans="2:34">
      <c r="B2496" s="13">
        <f t="shared" si="803"/>
        <v>39</v>
      </c>
      <c r="C2496" s="74" t="s">
        <v>215</v>
      </c>
      <c r="D2496" s="74" t="s">
        <v>36</v>
      </c>
      <c r="E2496" s="204"/>
      <c r="F2496" s="204"/>
      <c r="G2496" s="193"/>
      <c r="H2496" s="89"/>
      <c r="I2496" s="89"/>
      <c r="J2496" s="264">
        <v>7500000</v>
      </c>
      <c r="K2496" s="99">
        <v>7500000</v>
      </c>
      <c r="L2496" s="13"/>
      <c r="M2496" s="17"/>
      <c r="N2496" s="17"/>
      <c r="O2496" s="17"/>
      <c r="P2496" s="17"/>
      <c r="Q2496" s="17"/>
      <c r="R2496" s="17"/>
      <c r="S2496" s="17"/>
      <c r="T2496" s="17"/>
      <c r="U2496" s="17"/>
      <c r="V2496" s="17"/>
      <c r="W2496" s="17"/>
      <c r="X2496" s="17"/>
      <c r="Y2496" s="19">
        <v>100</v>
      </c>
      <c r="Z2496" s="98">
        <v>100</v>
      </c>
      <c r="AA2496" s="77">
        <v>3847500</v>
      </c>
      <c r="AB2496" s="229">
        <f t="shared" si="801"/>
        <v>51.300000000000004</v>
      </c>
      <c r="AC2496" s="230">
        <f t="shared" si="808"/>
        <v>3847500</v>
      </c>
      <c r="AD2496" s="229">
        <f t="shared" si="802"/>
        <v>51.300000000000004</v>
      </c>
      <c r="AH2496" s="265"/>
    </row>
    <row r="2497" spans="1:40" ht="25.5">
      <c r="B2497" s="13">
        <f t="shared" si="803"/>
        <v>40</v>
      </c>
      <c r="C2497" s="74" t="s">
        <v>216</v>
      </c>
      <c r="D2497" s="75" t="s">
        <v>38</v>
      </c>
      <c r="E2497" s="204"/>
      <c r="F2497" s="204"/>
      <c r="G2497" s="193"/>
      <c r="H2497" s="89"/>
      <c r="I2497" s="89"/>
      <c r="J2497" s="264"/>
      <c r="K2497" s="99">
        <v>8000000</v>
      </c>
      <c r="L2497" s="13"/>
      <c r="M2497" s="17"/>
      <c r="N2497" s="17"/>
      <c r="O2497" s="17"/>
      <c r="P2497" s="17"/>
      <c r="Q2497" s="17"/>
      <c r="R2497" s="17"/>
      <c r="S2497" s="17"/>
      <c r="T2497" s="17"/>
      <c r="U2497" s="17"/>
      <c r="V2497" s="17"/>
      <c r="W2497" s="17"/>
      <c r="X2497" s="17"/>
      <c r="Y2497" s="17">
        <v>100</v>
      </c>
      <c r="Z2497" s="98">
        <v>100</v>
      </c>
      <c r="AA2497" s="77">
        <v>5973675</v>
      </c>
      <c r="AB2497" s="229">
        <f t="shared" si="801"/>
        <v>74.670937500000008</v>
      </c>
      <c r="AC2497" s="230">
        <f t="shared" si="808"/>
        <v>5973675</v>
      </c>
      <c r="AD2497" s="229">
        <f t="shared" si="802"/>
        <v>74.670937500000008</v>
      </c>
      <c r="AH2497" s="265"/>
    </row>
    <row r="2498" spans="1:40">
      <c r="B2498" s="13">
        <f t="shared" si="803"/>
        <v>41</v>
      </c>
      <c r="C2498" s="123" t="s">
        <v>863</v>
      </c>
      <c r="D2498" s="21" t="s">
        <v>864</v>
      </c>
      <c r="E2498" s="204"/>
      <c r="F2498" s="204"/>
      <c r="G2498" s="193"/>
      <c r="H2498" s="89"/>
      <c r="I2498" s="89"/>
      <c r="J2498" s="15">
        <v>20000000</v>
      </c>
      <c r="K2498" s="99">
        <v>20000000</v>
      </c>
      <c r="L2498" s="13"/>
      <c r="M2498" s="17"/>
      <c r="N2498" s="17"/>
      <c r="O2498" s="17"/>
      <c r="P2498" s="17"/>
      <c r="Q2498" s="17"/>
      <c r="R2498" s="17"/>
      <c r="S2498" s="17"/>
      <c r="T2498" s="17"/>
      <c r="U2498" s="17"/>
      <c r="V2498" s="17"/>
      <c r="W2498" s="17"/>
      <c r="X2498" s="17"/>
      <c r="Y2498" s="17">
        <f t="shared" si="804"/>
        <v>100</v>
      </c>
      <c r="Z2498" s="98">
        <v>100</v>
      </c>
      <c r="AA2498" s="77">
        <v>20000000</v>
      </c>
      <c r="AB2498" s="229">
        <f t="shared" si="801"/>
        <v>100</v>
      </c>
      <c r="AC2498" s="230">
        <f t="shared" si="808"/>
        <v>20000000</v>
      </c>
      <c r="AD2498" s="229">
        <f t="shared" si="802"/>
        <v>100</v>
      </c>
      <c r="AH2498" s="265"/>
    </row>
    <row r="2499" spans="1:40">
      <c r="B2499" s="13"/>
      <c r="C2499" s="86" t="s">
        <v>1435</v>
      </c>
      <c r="D2499" s="86" t="s">
        <v>1436</v>
      </c>
      <c r="E2499" s="485"/>
      <c r="F2499" s="485"/>
      <c r="G2499" s="441"/>
      <c r="H2499" s="87"/>
      <c r="I2499" s="87"/>
      <c r="J2499" s="88"/>
      <c r="K2499" s="88"/>
      <c r="L2499" s="13"/>
      <c r="M2499" s="17"/>
      <c r="N2499" s="17"/>
      <c r="O2499" s="17"/>
      <c r="P2499" s="17"/>
      <c r="Q2499" s="17"/>
      <c r="R2499" s="17"/>
      <c r="S2499" s="17"/>
      <c r="T2499" s="17"/>
      <c r="U2499" s="17"/>
      <c r="V2499" s="17"/>
      <c r="W2499" s="17"/>
      <c r="X2499" s="17"/>
      <c r="Y2499" s="17"/>
      <c r="Z2499" s="98"/>
      <c r="AA2499" s="77"/>
      <c r="AB2499" s="229"/>
      <c r="AC2499" s="266"/>
      <c r="AD2499" s="229"/>
    </row>
    <row r="2500" spans="1:40">
      <c r="B2500" s="13">
        <f>B2498+1</f>
        <v>42</v>
      </c>
      <c r="C2500" s="74" t="s">
        <v>219</v>
      </c>
      <c r="D2500" s="74" t="s">
        <v>1437</v>
      </c>
      <c r="E2500" s="204"/>
      <c r="F2500" s="204"/>
      <c r="G2500" s="193"/>
      <c r="H2500" s="89"/>
      <c r="I2500" s="89"/>
      <c r="J2500" s="15">
        <v>370357000</v>
      </c>
      <c r="K2500" s="99">
        <v>777017000</v>
      </c>
      <c r="L2500" s="448"/>
      <c r="M2500" s="22"/>
      <c r="N2500" s="17"/>
      <c r="O2500" s="17"/>
      <c r="P2500" s="17"/>
      <c r="Q2500" s="17"/>
      <c r="R2500" s="17"/>
      <c r="S2500" s="17"/>
      <c r="T2500" s="17"/>
      <c r="U2500" s="17"/>
      <c r="V2500" s="17"/>
      <c r="W2500" s="17"/>
      <c r="X2500" s="17"/>
      <c r="Y2500" s="19">
        <v>100</v>
      </c>
      <c r="Z2500" s="19">
        <v>100</v>
      </c>
      <c r="AA2500" s="77">
        <v>706302177</v>
      </c>
      <c r="AB2500" s="229">
        <f t="shared" si="801"/>
        <v>90.899192295664051</v>
      </c>
      <c r="AC2500" s="230">
        <f t="shared" ref="AC2500:AC2506" si="809">AA2500</f>
        <v>706302177</v>
      </c>
      <c r="AD2500" s="229">
        <f t="shared" si="802"/>
        <v>90.899192295664051</v>
      </c>
      <c r="AI2500" s="265"/>
    </row>
    <row r="2501" spans="1:40">
      <c r="B2501" s="13">
        <f t="shared" si="803"/>
        <v>43</v>
      </c>
      <c r="C2501" s="74" t="s">
        <v>221</v>
      </c>
      <c r="D2501" s="74" t="s">
        <v>1438</v>
      </c>
      <c r="E2501" s="204"/>
      <c r="F2501" s="204"/>
      <c r="G2501" s="193"/>
      <c r="H2501" s="89"/>
      <c r="I2501" s="89"/>
      <c r="J2501" s="15">
        <v>57680000</v>
      </c>
      <c r="K2501" s="99">
        <v>57680000</v>
      </c>
      <c r="L2501" s="13"/>
      <c r="M2501" s="17"/>
      <c r="N2501" s="17"/>
      <c r="O2501" s="17"/>
      <c r="P2501" s="17"/>
      <c r="Q2501" s="17"/>
      <c r="R2501" s="17"/>
      <c r="S2501" s="17"/>
      <c r="T2501" s="17"/>
      <c r="U2501" s="17"/>
      <c r="V2501" s="17"/>
      <c r="W2501" s="17"/>
      <c r="X2501" s="17"/>
      <c r="Y2501" s="461">
        <v>100</v>
      </c>
      <c r="Z2501" s="461">
        <v>100</v>
      </c>
      <c r="AA2501" s="77">
        <v>57394000</v>
      </c>
      <c r="AB2501" s="229">
        <f t="shared" si="801"/>
        <v>99.504160887656042</v>
      </c>
      <c r="AC2501" s="230">
        <f t="shared" si="809"/>
        <v>57394000</v>
      </c>
      <c r="AD2501" s="229">
        <f t="shared" si="802"/>
        <v>99.504160887656042</v>
      </c>
    </row>
    <row r="2502" spans="1:40">
      <c r="B2502" s="13">
        <f t="shared" si="803"/>
        <v>44</v>
      </c>
      <c r="C2502" s="74" t="s">
        <v>600</v>
      </c>
      <c r="D2502" s="74" t="s">
        <v>1439</v>
      </c>
      <c r="E2502" s="204"/>
      <c r="F2502" s="204"/>
      <c r="G2502" s="193"/>
      <c r="H2502" s="89"/>
      <c r="I2502" s="89"/>
      <c r="J2502" s="15">
        <v>166928000</v>
      </c>
      <c r="K2502" s="99">
        <v>166928000</v>
      </c>
      <c r="L2502" s="13"/>
      <c r="M2502" s="17"/>
      <c r="N2502" s="17"/>
      <c r="O2502" s="17"/>
      <c r="P2502" s="17"/>
      <c r="Q2502" s="17"/>
      <c r="R2502" s="17"/>
      <c r="S2502" s="17"/>
      <c r="T2502" s="17"/>
      <c r="U2502" s="17"/>
      <c r="V2502" s="17"/>
      <c r="W2502" s="17"/>
      <c r="X2502" s="17"/>
      <c r="Y2502" s="19">
        <v>100</v>
      </c>
      <c r="Z2502" s="19">
        <v>100</v>
      </c>
      <c r="AA2502" s="77">
        <v>166418000</v>
      </c>
      <c r="AB2502" s="229">
        <f t="shared" si="801"/>
        <v>99.694479056838887</v>
      </c>
      <c r="AC2502" s="230">
        <f t="shared" si="809"/>
        <v>166418000</v>
      </c>
      <c r="AD2502" s="229">
        <f t="shared" si="802"/>
        <v>99.694479056838887</v>
      </c>
    </row>
    <row r="2503" spans="1:40">
      <c r="B2503" s="13">
        <f t="shared" si="803"/>
        <v>45</v>
      </c>
      <c r="C2503" s="74" t="s">
        <v>564</v>
      </c>
      <c r="D2503" s="74" t="s">
        <v>1440</v>
      </c>
      <c r="E2503" s="204"/>
      <c r="F2503" s="204"/>
      <c r="G2503" s="193"/>
      <c r="H2503" s="89"/>
      <c r="I2503" s="89"/>
      <c r="J2503" s="15">
        <v>19478000</v>
      </c>
      <c r="K2503" s="99">
        <v>22478000</v>
      </c>
      <c r="L2503" s="13"/>
      <c r="M2503" s="17"/>
      <c r="N2503" s="17"/>
      <c r="O2503" s="17"/>
      <c r="P2503" s="17"/>
      <c r="Q2503" s="17"/>
      <c r="R2503" s="17"/>
      <c r="S2503" s="17"/>
      <c r="T2503" s="17"/>
      <c r="U2503" s="17"/>
      <c r="V2503" s="17"/>
      <c r="W2503" s="17"/>
      <c r="X2503" s="17"/>
      <c r="Y2503" s="461">
        <v>100</v>
      </c>
      <c r="Z2503" s="461">
        <v>100</v>
      </c>
      <c r="AA2503" s="77">
        <v>21090500</v>
      </c>
      <c r="AB2503" s="229">
        <f t="shared" si="801"/>
        <v>93.827297802295575</v>
      </c>
      <c r="AC2503" s="266">
        <f t="shared" si="809"/>
        <v>21090500</v>
      </c>
      <c r="AD2503" s="229">
        <f t="shared" si="802"/>
        <v>93.827297802295575</v>
      </c>
    </row>
    <row r="2504" spans="1:40" ht="27">
      <c r="B2504" s="13">
        <f t="shared" si="803"/>
        <v>46</v>
      </c>
      <c r="C2504" s="74" t="s">
        <v>644</v>
      </c>
      <c r="D2504" s="74" t="s">
        <v>1441</v>
      </c>
      <c r="E2504" s="204"/>
      <c r="F2504" s="204"/>
      <c r="G2504" s="193"/>
      <c r="H2504" s="89"/>
      <c r="I2504" s="89"/>
      <c r="J2504" s="15">
        <v>230000000</v>
      </c>
      <c r="K2504" s="99">
        <v>230000000</v>
      </c>
      <c r="L2504" s="13"/>
      <c r="M2504" s="17"/>
      <c r="N2504" s="17"/>
      <c r="O2504" s="17"/>
      <c r="P2504" s="17"/>
      <c r="Q2504" s="17"/>
      <c r="R2504" s="17"/>
      <c r="S2504" s="17"/>
      <c r="T2504" s="17"/>
      <c r="U2504" s="17"/>
      <c r="V2504" s="17"/>
      <c r="W2504" s="17"/>
      <c r="X2504" s="17"/>
      <c r="Y2504" s="19">
        <v>100</v>
      </c>
      <c r="Z2504" s="19">
        <v>100</v>
      </c>
      <c r="AA2504" s="77">
        <v>174701000</v>
      </c>
      <c r="AB2504" s="229">
        <f t="shared" si="801"/>
        <v>75.95695652173913</v>
      </c>
      <c r="AC2504" s="266">
        <f t="shared" si="809"/>
        <v>174701000</v>
      </c>
      <c r="AD2504" s="229">
        <f t="shared" si="802"/>
        <v>75.95695652173913</v>
      </c>
    </row>
    <row r="2505" spans="1:40">
      <c r="B2505" s="13">
        <f t="shared" si="803"/>
        <v>47</v>
      </c>
      <c r="C2505" s="74" t="s">
        <v>664</v>
      </c>
      <c r="D2505" s="74" t="s">
        <v>1442</v>
      </c>
      <c r="E2505" s="204"/>
      <c r="F2505" s="204"/>
      <c r="G2505" s="193"/>
      <c r="H2505" s="89"/>
      <c r="I2505" s="89"/>
      <c r="J2505" s="15">
        <v>15000000</v>
      </c>
      <c r="K2505" s="99">
        <v>15000000</v>
      </c>
      <c r="L2505" s="13"/>
      <c r="M2505" s="17"/>
      <c r="N2505" s="17"/>
      <c r="O2505" s="17"/>
      <c r="P2505" s="17"/>
      <c r="Q2505" s="17"/>
      <c r="R2505" s="17"/>
      <c r="S2505" s="17"/>
      <c r="T2505" s="17"/>
      <c r="U2505" s="17"/>
      <c r="V2505" s="17"/>
      <c r="W2505" s="17"/>
      <c r="X2505" s="17"/>
      <c r="Y2505" s="461">
        <v>100</v>
      </c>
      <c r="Z2505" s="461">
        <v>100</v>
      </c>
      <c r="AA2505" s="77">
        <v>13650000</v>
      </c>
      <c r="AB2505" s="229">
        <f t="shared" si="801"/>
        <v>91</v>
      </c>
      <c r="AC2505" s="266">
        <f t="shared" si="809"/>
        <v>13650000</v>
      </c>
      <c r="AD2505" s="229">
        <f t="shared" si="802"/>
        <v>91</v>
      </c>
      <c r="AJ2505" s="265"/>
      <c r="AK2505" s="265"/>
    </row>
    <row r="2506" spans="1:40" ht="27">
      <c r="B2506" s="13">
        <f t="shared" si="803"/>
        <v>48</v>
      </c>
      <c r="C2506" s="74" t="s">
        <v>666</v>
      </c>
      <c r="D2506" s="93" t="s">
        <v>1443</v>
      </c>
      <c r="E2506" s="204"/>
      <c r="F2506" s="204"/>
      <c r="G2506" s="193"/>
      <c r="H2506" s="89"/>
      <c r="I2506" s="89"/>
      <c r="J2506" s="15">
        <v>30000000</v>
      </c>
      <c r="K2506" s="99">
        <v>30000000</v>
      </c>
      <c r="L2506" s="13"/>
      <c r="M2506" s="17"/>
      <c r="N2506" s="17"/>
      <c r="O2506" s="17"/>
      <c r="P2506" s="17"/>
      <c r="Q2506" s="17"/>
      <c r="R2506" s="17"/>
      <c r="S2506" s="17"/>
      <c r="T2506" s="17"/>
      <c r="U2506" s="17"/>
      <c r="V2506" s="17"/>
      <c r="W2506" s="17"/>
      <c r="X2506" s="17"/>
      <c r="Y2506" s="461">
        <v>100</v>
      </c>
      <c r="Z2506" s="461">
        <v>100</v>
      </c>
      <c r="AA2506" s="77">
        <v>17704000</v>
      </c>
      <c r="AB2506" s="229">
        <f t="shared" si="801"/>
        <v>59.013333333333328</v>
      </c>
      <c r="AC2506" s="266">
        <f t="shared" si="809"/>
        <v>17704000</v>
      </c>
      <c r="AD2506" s="229">
        <f t="shared" si="802"/>
        <v>59.013333333333328</v>
      </c>
      <c r="AL2506" s="265"/>
    </row>
    <row r="2507" spans="1:40" ht="25.5">
      <c r="B2507" s="13">
        <f t="shared" si="803"/>
        <v>49</v>
      </c>
      <c r="C2507" s="81">
        <v>15.009</v>
      </c>
      <c r="D2507" s="21" t="s">
        <v>1444</v>
      </c>
      <c r="E2507" s="204"/>
      <c r="F2507" s="204"/>
      <c r="G2507" s="193"/>
      <c r="H2507" s="89"/>
      <c r="I2507" s="89"/>
      <c r="J2507" s="15">
        <v>15000000</v>
      </c>
      <c r="K2507" s="99">
        <v>15000000</v>
      </c>
      <c r="L2507" s="13"/>
      <c r="M2507" s="17"/>
      <c r="N2507" s="17"/>
      <c r="O2507" s="17"/>
      <c r="P2507" s="17"/>
      <c r="Q2507" s="17"/>
      <c r="R2507" s="17"/>
      <c r="S2507" s="17"/>
      <c r="T2507" s="17"/>
      <c r="U2507" s="17"/>
      <c r="V2507" s="17"/>
      <c r="W2507" s="17"/>
      <c r="X2507" s="17"/>
      <c r="Y2507" s="19">
        <v>100</v>
      </c>
      <c r="Z2507" s="19">
        <v>100</v>
      </c>
      <c r="AA2507" s="77">
        <v>8055000</v>
      </c>
      <c r="AB2507" s="229">
        <f t="shared" si="801"/>
        <v>53.7</v>
      </c>
      <c r="AC2507" s="266">
        <f t="shared" ref="AC2507:AC2512" si="810">AA2507</f>
        <v>8055000</v>
      </c>
      <c r="AD2507" s="229">
        <f t="shared" si="802"/>
        <v>53.7</v>
      </c>
      <c r="AL2507" s="265"/>
    </row>
    <row r="2508" spans="1:40" ht="27">
      <c r="B2508" s="13">
        <f t="shared" si="803"/>
        <v>50</v>
      </c>
      <c r="C2508" s="81">
        <v>15.018000000000001</v>
      </c>
      <c r="D2508" s="119" t="s">
        <v>2090</v>
      </c>
      <c r="E2508" s="204"/>
      <c r="F2508" s="204"/>
      <c r="G2508" s="193"/>
      <c r="H2508" s="89"/>
      <c r="I2508" s="89"/>
      <c r="J2508" s="15">
        <v>45000000</v>
      </c>
      <c r="K2508" s="99">
        <v>45000000</v>
      </c>
      <c r="L2508" s="13"/>
      <c r="M2508" s="17"/>
      <c r="N2508" s="17"/>
      <c r="O2508" s="17"/>
      <c r="P2508" s="17"/>
      <c r="Q2508" s="17"/>
      <c r="R2508" s="17"/>
      <c r="S2508" s="17"/>
      <c r="T2508" s="17"/>
      <c r="U2508" s="17"/>
      <c r="V2508" s="17"/>
      <c r="W2508" s="17"/>
      <c r="X2508" s="17"/>
      <c r="Y2508" s="19">
        <v>100</v>
      </c>
      <c r="Z2508" s="19">
        <v>100</v>
      </c>
      <c r="AA2508" s="77">
        <v>28038000</v>
      </c>
      <c r="AB2508" s="229">
        <f t="shared" si="801"/>
        <v>62.306666666666665</v>
      </c>
      <c r="AC2508" s="230">
        <f t="shared" si="810"/>
        <v>28038000</v>
      </c>
      <c r="AD2508" s="229">
        <f t="shared" si="802"/>
        <v>62.306666666666665</v>
      </c>
    </row>
    <row r="2509" spans="1:40" ht="27">
      <c r="B2509" s="13">
        <f t="shared" si="803"/>
        <v>51</v>
      </c>
      <c r="C2509" s="81">
        <v>15.019</v>
      </c>
      <c r="D2509" s="74" t="s">
        <v>2114</v>
      </c>
      <c r="E2509" s="204"/>
      <c r="F2509" s="204"/>
      <c r="G2509" s="193"/>
      <c r="H2509" s="89"/>
      <c r="I2509" s="89"/>
      <c r="J2509" s="15">
        <v>150000000</v>
      </c>
      <c r="K2509" s="99">
        <v>150000000</v>
      </c>
      <c r="L2509" s="460"/>
      <c r="M2509" s="22" t="s">
        <v>2089</v>
      </c>
      <c r="N2509" s="17"/>
      <c r="O2509" s="17"/>
      <c r="P2509" s="17"/>
      <c r="Q2509" s="17"/>
      <c r="R2509" s="17"/>
      <c r="S2509" s="17"/>
      <c r="T2509" s="17"/>
      <c r="U2509" s="17"/>
      <c r="V2509" s="17"/>
      <c r="W2509" s="17"/>
      <c r="X2509" s="17"/>
      <c r="Y2509" s="19">
        <v>100</v>
      </c>
      <c r="Z2509" s="19">
        <v>100</v>
      </c>
      <c r="AA2509" s="77">
        <v>137327000</v>
      </c>
      <c r="AB2509" s="229">
        <f t="shared" si="801"/>
        <v>91.551333333333332</v>
      </c>
      <c r="AC2509" s="230">
        <f t="shared" si="810"/>
        <v>137327000</v>
      </c>
      <c r="AD2509" s="229">
        <f t="shared" si="802"/>
        <v>91.551333333333332</v>
      </c>
    </row>
    <row r="2510" spans="1:40" s="265" customFormat="1">
      <c r="A2510" s="1"/>
      <c r="B2510" s="45">
        <f t="shared" si="803"/>
        <v>52</v>
      </c>
      <c r="C2510" s="267" t="s">
        <v>1445</v>
      </c>
      <c r="D2510" s="93" t="s">
        <v>2115</v>
      </c>
      <c r="E2510" s="489"/>
      <c r="F2510" s="489"/>
      <c r="G2510" s="240"/>
      <c r="H2510" s="186"/>
      <c r="I2510" s="186"/>
      <c r="J2510" s="15">
        <v>200000000</v>
      </c>
      <c r="K2510" s="99">
        <v>200000000</v>
      </c>
      <c r="L2510" s="444"/>
      <c r="M2510" s="73" t="s">
        <v>1</v>
      </c>
      <c r="N2510" s="44"/>
      <c r="O2510" s="44"/>
      <c r="P2510" s="44"/>
      <c r="Q2510" s="44"/>
      <c r="R2510" s="44"/>
      <c r="S2510" s="44"/>
      <c r="T2510" s="44"/>
      <c r="U2510" s="44"/>
      <c r="V2510" s="44"/>
      <c r="W2510" s="44"/>
      <c r="X2510" s="44"/>
      <c r="Y2510" s="19">
        <v>100</v>
      </c>
      <c r="Z2510" s="19">
        <v>100</v>
      </c>
      <c r="AA2510" s="154">
        <v>148880000</v>
      </c>
      <c r="AB2510" s="229">
        <f t="shared" si="801"/>
        <v>74.44</v>
      </c>
      <c r="AC2510" s="268">
        <f t="shared" si="810"/>
        <v>148880000</v>
      </c>
      <c r="AD2510" s="229">
        <f t="shared" si="802"/>
        <v>74.44</v>
      </c>
      <c r="AE2510" s="71"/>
      <c r="AF2510" s="2"/>
      <c r="AG2510" s="2"/>
      <c r="AH2510" s="2"/>
      <c r="AI2510" s="2"/>
      <c r="AJ2510" s="2"/>
      <c r="AK2510" s="2"/>
      <c r="AL2510" s="2"/>
      <c r="AM2510" s="2"/>
      <c r="AN2510" s="2"/>
    </row>
    <row r="2511" spans="1:40">
      <c r="B2511" s="45">
        <f t="shared" si="803"/>
        <v>53</v>
      </c>
      <c r="C2511" s="269">
        <v>15.021000000000001</v>
      </c>
      <c r="D2511" s="270" t="s">
        <v>2116</v>
      </c>
      <c r="E2511" s="489"/>
      <c r="F2511" s="489"/>
      <c r="G2511" s="240"/>
      <c r="H2511" s="186"/>
      <c r="I2511" s="240"/>
      <c r="J2511" s="79">
        <v>25000000</v>
      </c>
      <c r="K2511" s="99">
        <v>25000000</v>
      </c>
      <c r="L2511" s="444"/>
      <c r="M2511" s="73"/>
      <c r="N2511" s="44"/>
      <c r="O2511" s="44"/>
      <c r="P2511" s="44"/>
      <c r="Q2511" s="44"/>
      <c r="R2511" s="44"/>
      <c r="S2511" s="44"/>
      <c r="T2511" s="44"/>
      <c r="U2511" s="44"/>
      <c r="V2511" s="44"/>
      <c r="W2511" s="44"/>
      <c r="X2511" s="44"/>
      <c r="Y2511" s="19">
        <v>100</v>
      </c>
      <c r="Z2511" s="19">
        <v>100</v>
      </c>
      <c r="AA2511" s="271">
        <v>6120000</v>
      </c>
      <c r="AB2511" s="229">
        <f t="shared" si="801"/>
        <v>24.48</v>
      </c>
      <c r="AC2511" s="272">
        <f t="shared" si="810"/>
        <v>6120000</v>
      </c>
      <c r="AD2511" s="229">
        <f t="shared" si="802"/>
        <v>24.48</v>
      </c>
    </row>
    <row r="2512" spans="1:40" ht="25.5">
      <c r="B2512" s="45">
        <f t="shared" si="803"/>
        <v>54</v>
      </c>
      <c r="C2512" s="269">
        <v>15.022</v>
      </c>
      <c r="D2512" s="75" t="s">
        <v>2369</v>
      </c>
      <c r="E2512" s="347"/>
      <c r="F2512" s="347"/>
      <c r="G2512" s="498"/>
      <c r="H2512" s="105"/>
      <c r="I2512" s="498"/>
      <c r="J2512" s="752"/>
      <c r="K2512" s="99">
        <v>393590000</v>
      </c>
      <c r="L2512" s="753"/>
      <c r="M2512" s="112"/>
      <c r="N2512" s="51"/>
      <c r="O2512" s="51"/>
      <c r="P2512" s="51"/>
      <c r="Q2512" s="51"/>
      <c r="R2512" s="498"/>
      <c r="S2512" s="498"/>
      <c r="T2512" s="498"/>
      <c r="U2512" s="498"/>
      <c r="V2512" s="498"/>
      <c r="W2512" s="498"/>
      <c r="X2512" s="498"/>
      <c r="Y2512" s="19">
        <v>100</v>
      </c>
      <c r="Z2512" s="19">
        <v>60</v>
      </c>
      <c r="AA2512" s="734">
        <v>76868000</v>
      </c>
      <c r="AB2512" s="754">
        <f t="shared" si="801"/>
        <v>19.529967732920046</v>
      </c>
      <c r="AC2512" s="755">
        <f t="shared" si="810"/>
        <v>76868000</v>
      </c>
      <c r="AD2512" s="754">
        <f t="shared" si="802"/>
        <v>19.529967732920046</v>
      </c>
      <c r="AE2512" s="384"/>
      <c r="AF2512" s="384"/>
    </row>
    <row r="2513" spans="1:39">
      <c r="B2513" s="37">
        <v>174</v>
      </c>
      <c r="C2513" s="903" t="s">
        <v>1446</v>
      </c>
      <c r="D2513" s="904"/>
      <c r="E2513" s="483"/>
      <c r="F2513" s="483">
        <v>54</v>
      </c>
      <c r="G2513" s="468"/>
      <c r="H2513" s="526"/>
      <c r="I2513" s="468"/>
      <c r="J2513" s="36">
        <f>SUM(J2455:J2511)</f>
        <v>4011048000</v>
      </c>
      <c r="K2513" s="36">
        <f>SUM(K2455:K2512)</f>
        <v>6283081000</v>
      </c>
      <c r="L2513" s="295"/>
      <c r="M2513" s="28"/>
      <c r="N2513" s="28"/>
      <c r="O2513" s="28"/>
      <c r="P2513" s="28"/>
      <c r="Q2513" s="28"/>
      <c r="R2513" s="468"/>
      <c r="S2513" s="468"/>
      <c r="T2513" s="468"/>
      <c r="U2513" s="468"/>
      <c r="V2513" s="468"/>
      <c r="W2513" s="468"/>
      <c r="X2513" s="468"/>
      <c r="Y2513" s="76">
        <f>SUM(Y2454:Y2512)/53</f>
        <v>97.452830188679243</v>
      </c>
      <c r="Z2513" s="76">
        <f>SUM(Z2454:Z2512)/53</f>
        <v>96.698113207547166</v>
      </c>
      <c r="AA2513" s="36">
        <f>SUM(AA2454:AA2512)</f>
        <v>5423578478</v>
      </c>
      <c r="AB2513" s="76">
        <f>SUM(AB2454:AB2512)/53</f>
        <v>86.161698171559678</v>
      </c>
      <c r="AC2513" s="36">
        <f>SUM(AC2454:AC2512)</f>
        <v>5423578478</v>
      </c>
      <c r="AD2513" s="76">
        <f>SUM(AD2454:AD2512)/53</f>
        <v>86.161698171559678</v>
      </c>
      <c r="AE2513" s="384"/>
      <c r="AF2513" s="384"/>
    </row>
    <row r="2514" spans="1:39" s="822" customFormat="1">
      <c r="A2514" s="809"/>
      <c r="B2514" s="810"/>
      <c r="C2514" s="901" t="s">
        <v>1447</v>
      </c>
      <c r="D2514" s="902"/>
      <c r="E2514" s="811"/>
      <c r="F2514" s="811"/>
      <c r="G2514" s="812"/>
      <c r="H2514" s="813" t="e">
        <f>#REF!</f>
        <v>#REF!</v>
      </c>
      <c r="I2514" s="814" t="s">
        <v>1845</v>
      </c>
      <c r="J2514" s="815">
        <f>SUM(J137+J142+J148+J154+J160+J166+J172+J178+J184+J190+J196+J202+J208+J214+J220+J226+J232+J238+J244+J250+J256+J263+J270+J275+J281+J287+J293+J299+J306+J311+J317+J320+J325+J330+J336+J342+J346+J352+J357+J362+J369+J375+J380+J387+J393+J399+J404+J410+J417+J423+J429+J435+J441+J447+J453+J458+J465+J471+J477+J482+J488+J494+J500+J507+J514+J520+J525+J530+J536+J542+J547+J552+J559+J567+J573+J581+J588+J594+J600+J606+J612+J619+J626+J632+J638+J644+J651+J658+J667+J674+J683+J690+J765+J793+J801+J811+J821+J831+J841+J851+J861+J871+J880+J889+J899+J909+J919+J929+J939+J949+J959+J969+J979+J989+J999+J1009+J1019+J1026+J1294+J1348+J1392+J1420+J1437+J1470+J1501+J1545+J1600+J1618+J1646+J1673+J1787+J1804+J1830+J1845+J1859+J1869+J1880+J1890+J1901+J1912+J1923+J1934+J1946+J1959+J1970+J1981+J1993+J2004+J2016+J2027+J2041+J2052+J2059+J2066+J2073+J2080+J2088+J2094+J2101+J2107+J2114+J2121+J2127+J2134+J2141+J2148+J2154+J2190+J2224+J2250+J2295+J2400+J2449+J2513)</f>
        <v>472293494000</v>
      </c>
      <c r="K2514" s="840">
        <v>653611844000</v>
      </c>
      <c r="L2514" s="810"/>
      <c r="M2514" s="816"/>
      <c r="N2514" s="816"/>
      <c r="O2514" s="816"/>
      <c r="P2514" s="816"/>
      <c r="Q2514" s="816"/>
      <c r="R2514" s="817"/>
      <c r="S2514" s="817"/>
      <c r="T2514" s="818"/>
      <c r="U2514" s="819"/>
      <c r="V2514" s="819"/>
      <c r="W2514" s="819"/>
      <c r="X2514" s="819"/>
      <c r="Y2514" s="820">
        <f>SUM(Y137+Y142+Y148+Y154+Y160+Y166+Y172+Y178+Y184+Y190+Y196+Y202+Y208+Y214+Y220+Y226+Y232+Y238+Y244+Y250+Y256+Y263+Y270+Y275+Y281+Y287+Y293+Y299+Y306+Y311+Y317+Y320+Y325+Y330+Y336+Y342+Y346+Y352+Y357+Y362+Y369+Y375+Y380+Y387+Y393+Y399+Y404+Y410+Y417+Y423+Y429+Y435+Y441+Y447+Y453+Y458+Y465+Y471+Y477+Y482+Y488+Y494+Y500+Y507+Y514+Y520+Y525+Y530+Y536+Y542+Y547+Y552+Y559+Y567+Y573+Y581+Y588+Y594+Y600+Y606+Y612+Y619+Y626+Y632+Y638+Y644+Y651+Y658+Y667+Y674+Y683+Y690+Y765+Y793+Y801+Y811+Y821+Y831+Y841+Y851+Y861+Y871+Y880+Y889+Y899+Y909+Y919+Y929+Y939+Y949+Y959+Y969+Y979+Y989+Y999+Y1009+Y1019+Y1026+Y1294+Y1348+Y1392+Y1420+Y1437+Y1470+Y1501+Y1545+Y1600+Y1618+Y1646+Y1673+Y1787+Y1804+Y1830+Y1845+Y1859+Y1869+Y1880+Y1890+Y1901+Y1912+Y1923+Y1934+Y1946+Y1959+Y1970+Y1981+Y1993+Y2004+Y2016+Y2027+Y2041+Y2052+Y2059+Y2066+Y2073+Y2080+Y2088+Y2094+Y2101+Y2107+Y2114+Y2121+Y2127+Y2134+Y2141+Y2148+Y2154+Y2190+Y2224+Y2250+Y2295+Y2400+Y2449+Y2513)/174</f>
        <v>88.698722201354713</v>
      </c>
      <c r="Z2514" s="820">
        <f>SUM(Z137+Z142+Z148+Z154+Z160+Z166+Z172+Z178+Z184+Z190+Z196+Z202+Z208+Z214+Z220+Z226+Z232+Z238+Z244+Z250+Z256+Z263+Z270+Z275+Z281+Z287+Z293+Z299+Z306+Z311+Z317+Z320+Z325+Z330+Z336+Z342+Z346+Z352+Z357+Z362+Z369+Z375+Z380+Z387+Z393+Z399+Z404+Z410+Z417+Z423+Z429+Z435+Z441+Z447+Z453+Z458+Z465+Z471+Z477+Z482+Z488+Z494+Z500+Z507+Z514+Z520+Z525+Z530+Z536+Z542+Z547+Z552+Z559+Z567+Z573+Z581+Z588+Z594+Z600+Z606+Z612+Z619+Z626+Z632+Z638+Z644+Z651+Z658+Z667+Z674+Z683+Z690+Z765+Z793+Z801+Z811+Z821+Z831+Z841+Z851+Z861+Z871+Z880+Z889+Z899+Z909+Z919+Z929+Z939+Z949+Z959+Z969+Z979+Z989+Z999+Z1009+Z1019+Z1026+Z1294+Z1348+Z1392+Z1420+Z1437+Z1470+Z1501+Z1545+Z1600+Z1618+Z1646+Z1673+Z1787+Z1804+Z1830+Z1845+Z1859+Z1869+Z1880+Z1890+Z1901+Z1912+Z1923+Z1934+Z1946+Z1959+Z1970+Z1981+Z1993+Z2004+Z2016+Z2027+Z2041+Z2052+Z2059+Z2066+Z2073+Z2080+Z2088+Z2094+Z2101+Z2107+Z2114+Z2121+Z2127+Z2134+Z2141+Z2148+Z2154+Z2190+Z2224+Z2250+Z2295+Z2400+Z2449+Z2513)/174</f>
        <v>87.570544051103951</v>
      </c>
      <c r="AA2514" s="815">
        <f>SUM(AA137+AA142+AA148+AA154+AA160+AA166+AA172+AA178+AA184+AA190+AA196+AA202+AA208+AA214+AA220+AA226+AA232+AA238+AA244+AA250+AA256+AA263+AA270+AA275+AA281+AA287+AA293+AA299+AA306+AA311+AA317+AA320+AA325+AA330+AA336+AA342+AA346+AA352+AA357+AA362+AA369+AA375+AA380+AA387+AA393+AA399+AA404+AA410+AA417+AA423+AA429+AA435+AA441+AA447+AA453+AA458+AA465+AA471+AA477+AA482+AA488+AA494+AA500+AA507+AA514+AA520+AA525+AA530+AA536+AA542+AA547+AA552+AA559+AA567+AA573+AA581+AA588+AA594+AA600+AA606+AA612+AA619+AA626+AA632+AA638+AA644+AA651+AA658+AA667+AA674+AA683+AA690+AA765+AA793+AA801+AA811+AA821+AA831+AA841+AA851+AA861+AA871+AA880+AA889+AA899+AA909+AA919+AA929+AA939+AA949+AA959+AA969+AA979+AA989+AA999+AA1009+AA1019+AA1026+AA1294+AA1348+AA1392+AA1420+AA1437+AA1470+AA1501+AA1545+AA1600+AA1618+AA1646+AA1673+AA1787+AA1804+AA1830+AA1845+AA1859+AA1869+AA1880+AA1890+AA1901+AA1912+AA1923+AA1934+AA1946+AA1959+AA1970+AA1981+AA1993+AA2004+AA2016+AA2027+AA2041+AA2052+AA2059+AA2066+AA2073+AA2080+AA2088+AA2094+AA2101+AA2107+AA2114+AA2121+AA2127+AA2134+AA2141+AA2148+AA2154+AA2190+AA2224+AA2250+AA2295+AA2400+AA2449+AA2513)</f>
        <v>493680589649.59998</v>
      </c>
      <c r="AB2514" s="820">
        <f>AA2514/K2514*100</f>
        <v>75.531157242860473</v>
      </c>
      <c r="AC2514" s="815">
        <f>SUM(AC137+AC142+AC148+AC154+AC160+AC166+AC172+AC178+AC184+AC190+AC196+AC202+AC208+AC214+AC220+AC226+AC232+AC238+AC244+AC250+AC256+AC263+AC270+AC275+AC281+AC287+AC293+AC299+AC306+AC311+AC317+AC320+AC325+AC330+AC336+AC342+AC346+AC352+AC357+AC362+AC369+AC375+AC380+AC387+AC393+AC399+AC404+AC410+AC417+AC423+AC429+AC435+AC441+AC447+AC453+AC458+AC465+AC471+AC477+AC482+AC488+AC494+AC500+AC507+AC514+AC520+AC525+AC530+AC536+AC542+AC547+AC552+AC559+AC567+AC573+AC581+AC588+AC594+AC600+AC606+AC612+AC619+AC626+AC632+AC638+AC644+AC651+AC658+AC667+AC674+AC683+AC690+AC765+AC793+AC801+AC811+AC821+AC831+AC841+AC851+AC861+AC871+AC880+AC889+AC899+AC909+AC919+AC929+AC939+AC949+AC959+AC969+AC979+AC989+AC999+AC1009+AC1019+AC1026+AC1294+AC1348+AC1392+AC1420+AC1437+AC1470+AC1501+AC1545+AC1600+AC1618+AC1646+AC1673+AC1787+AC1804+AC1830+AC1845+AC1859+AC1869+AC1880+AC1890+AC1901+AC1912+AC1923+AC1934+AC1946+AC1959+AC1970+AC1981+AC1993+AC2004+AC2016+AC2027+AC2041+AC2052+AC2059+AC2066+AC2073+AC2080+AC2088+AC2094+AC2101+AC2107+AC2114+AC2121+AC2127+AC2134+AC2141+AC2148+AC2154+AC2190+AC2224+AC2250+AC2295+AC2400+AC2449+AC2513)</f>
        <v>483697465448.59998</v>
      </c>
      <c r="AD2514" s="821">
        <f>AC2514/K2514*100</f>
        <v>74.003779137239746</v>
      </c>
      <c r="AE2514" s="384"/>
      <c r="AF2514" s="384"/>
    </row>
    <row r="2515" spans="1:39">
      <c r="C2515" s="275"/>
      <c r="D2515" s="276"/>
      <c r="E2515" s="105"/>
      <c r="F2515" s="105"/>
      <c r="G2515" s="105"/>
      <c r="H2515" s="105"/>
      <c r="I2515" s="105"/>
      <c r="J2515" s="105"/>
      <c r="K2515" s="826"/>
      <c r="L2515" s="105"/>
      <c r="M2515" s="105"/>
      <c r="N2515" s="105"/>
      <c r="O2515" s="105"/>
      <c r="P2515" s="277"/>
      <c r="Q2515" s="277" t="s">
        <v>1</v>
      </c>
      <c r="R2515" s="277"/>
      <c r="S2515" s="277"/>
      <c r="T2515" s="277"/>
      <c r="U2515" s="277"/>
      <c r="V2515" s="277"/>
      <c r="W2515" s="277"/>
      <c r="X2515" s="277"/>
      <c r="AC2515" s="2" t="s">
        <v>1</v>
      </c>
    </row>
    <row r="2516" spans="1:39" ht="15.75">
      <c r="B2516" s="906"/>
      <c r="C2516" s="906"/>
      <c r="D2516" s="906"/>
      <c r="E2516" s="906"/>
      <c r="F2516" s="829"/>
      <c r="G2516" s="829"/>
      <c r="H2516" s="829"/>
      <c r="I2516" s="829"/>
      <c r="J2516" s="829"/>
      <c r="K2516" s="830"/>
      <c r="L2516" s="829"/>
      <c r="M2516" s="829"/>
      <c r="N2516" s="829"/>
      <c r="O2516" s="105"/>
      <c r="P2516" s="277"/>
      <c r="Q2516" s="277"/>
      <c r="R2516" s="277"/>
      <c r="S2516" s="277"/>
      <c r="T2516" s="277"/>
      <c r="U2516" s="277"/>
      <c r="V2516" s="277"/>
      <c r="W2516" s="277"/>
      <c r="X2516" s="277"/>
      <c r="AB2516" s="905" t="s">
        <v>2402</v>
      </c>
      <c r="AC2516" s="905"/>
      <c r="AD2516" s="905"/>
    </row>
    <row r="2517" spans="1:39" ht="15.75" customHeight="1">
      <c r="B2517" s="907"/>
      <c r="C2517" s="907"/>
      <c r="D2517" s="907"/>
      <c r="E2517" s="907"/>
      <c r="F2517" s="907"/>
      <c r="G2517" s="907"/>
      <c r="H2517" s="907"/>
      <c r="I2517" s="907"/>
      <c r="J2517" s="907"/>
      <c r="K2517" s="907"/>
      <c r="L2517" s="907"/>
      <c r="M2517" s="907"/>
      <c r="N2517" s="907"/>
      <c r="O2517" s="105"/>
      <c r="P2517" s="277"/>
      <c r="Z2517" s="2" t="s">
        <v>1</v>
      </c>
      <c r="AC2517" s="280" t="s">
        <v>1448</v>
      </c>
    </row>
    <row r="2518" spans="1:39" ht="16.5" customHeight="1">
      <c r="B2518" s="907"/>
      <c r="C2518" s="907"/>
      <c r="D2518" s="907"/>
      <c r="E2518" s="907"/>
      <c r="F2518" s="907"/>
      <c r="G2518" s="907"/>
      <c r="H2518" s="907"/>
      <c r="I2518" s="907"/>
      <c r="J2518" s="907"/>
      <c r="K2518" s="907"/>
      <c r="L2518" s="907"/>
      <c r="M2518" s="907"/>
      <c r="N2518" s="907"/>
      <c r="O2518" s="105"/>
      <c r="P2518" s="277"/>
      <c r="Y2518" s="837" t="s">
        <v>1</v>
      </c>
      <c r="AC2518" s="280"/>
    </row>
    <row r="2519" spans="1:39" ht="15.75" customHeight="1">
      <c r="B2519" s="829"/>
      <c r="C2519" s="829"/>
      <c r="D2519" s="829"/>
      <c r="E2519" s="829"/>
      <c r="F2519" s="829"/>
      <c r="G2519" s="829"/>
      <c r="H2519" s="829"/>
      <c r="I2519" s="829"/>
      <c r="J2519" s="829"/>
      <c r="K2519" s="829"/>
      <c r="L2519" s="829"/>
      <c r="M2519" s="829"/>
      <c r="N2519" s="829"/>
      <c r="O2519" s="105"/>
      <c r="P2519" s="277"/>
      <c r="AC2519" s="280"/>
    </row>
    <row r="2520" spans="1:39" ht="15.75" customHeight="1">
      <c r="B2520" s="907"/>
      <c r="C2520" s="907"/>
      <c r="D2520" s="907"/>
      <c r="E2520" s="907"/>
      <c r="F2520" s="907"/>
      <c r="G2520" s="907"/>
      <c r="H2520" s="907"/>
      <c r="I2520" s="907"/>
      <c r="J2520" s="907"/>
      <c r="K2520" s="907"/>
      <c r="L2520" s="907"/>
      <c r="M2520" s="907"/>
      <c r="N2520" s="829"/>
      <c r="O2520" s="105"/>
      <c r="AC2520" s="281"/>
    </row>
    <row r="2521" spans="1:39" ht="15.75">
      <c r="B2521" s="275"/>
      <c r="C2521" s="669"/>
      <c r="D2521" s="276"/>
      <c r="E2521" s="105"/>
      <c r="F2521" s="672"/>
      <c r="G2521" s="105"/>
      <c r="H2521" s="105"/>
      <c r="I2521" s="105"/>
      <c r="J2521" s="105"/>
      <c r="K2521" s="105"/>
      <c r="L2521" s="105"/>
      <c r="M2521" s="105"/>
      <c r="N2521" s="105"/>
      <c r="O2521" s="105"/>
      <c r="AC2521" s="281"/>
      <c r="AJ2521" s="278" t="s">
        <v>1</v>
      </c>
    </row>
    <row r="2522" spans="1:39" ht="15.75">
      <c r="B2522" s="275"/>
      <c r="C2522" s="669"/>
      <c r="D2522" s="276"/>
      <c r="E2522" s="105"/>
      <c r="F2522" s="105"/>
      <c r="G2522" s="105"/>
      <c r="H2522" s="105"/>
      <c r="I2522" s="105"/>
      <c r="J2522" s="105"/>
      <c r="K2522" s="105"/>
      <c r="L2522" s="105"/>
      <c r="M2522" s="105"/>
      <c r="N2522" s="105"/>
      <c r="O2522" s="105"/>
      <c r="AC2522" s="282" t="s">
        <v>1449</v>
      </c>
    </row>
    <row r="2523" spans="1:39">
      <c r="B2523" s="275"/>
      <c r="C2523" s="105"/>
      <c r="D2523" s="276"/>
      <c r="E2523" s="105"/>
      <c r="F2523" s="105"/>
      <c r="G2523" s="105"/>
      <c r="H2523" s="105"/>
      <c r="I2523" s="105"/>
      <c r="J2523" s="105"/>
      <c r="K2523" s="105"/>
      <c r="L2523" s="105"/>
      <c r="M2523" s="105"/>
      <c r="N2523" s="105"/>
      <c r="O2523" s="105"/>
      <c r="Z2523" s="2" t="s">
        <v>1</v>
      </c>
      <c r="AC2523" s="283" t="s">
        <v>1450</v>
      </c>
    </row>
    <row r="2524" spans="1:39" ht="15.75">
      <c r="B2524" s="275"/>
      <c r="C2524" s="105"/>
      <c r="D2524" s="276"/>
      <c r="E2524" s="105"/>
      <c r="F2524" s="105"/>
      <c r="G2524" s="105"/>
      <c r="H2524" s="105"/>
      <c r="I2524" s="105"/>
      <c r="J2524" s="105"/>
      <c r="K2524" s="105"/>
      <c r="L2524" s="105"/>
      <c r="M2524" s="105"/>
      <c r="N2524" s="105"/>
      <c r="O2524" s="105"/>
      <c r="AC2524" s="283" t="s">
        <v>1451</v>
      </c>
      <c r="AF2524" s="284"/>
      <c r="AG2524" s="284"/>
      <c r="AH2524" s="280"/>
      <c r="AL2524" s="71"/>
    </row>
    <row r="2525" spans="1:39">
      <c r="B2525" s="275"/>
      <c r="C2525" s="105"/>
      <c r="D2525" s="276"/>
      <c r="E2525" s="105"/>
      <c r="F2525" s="105"/>
      <c r="G2525" s="105"/>
      <c r="H2525" s="105"/>
      <c r="I2525" s="105"/>
      <c r="J2525" s="105"/>
      <c r="K2525" s="105"/>
      <c r="L2525" s="105"/>
      <c r="M2525" s="105"/>
      <c r="N2525" s="105"/>
      <c r="O2525" s="105"/>
      <c r="AG2525" s="285"/>
      <c r="AH2525" s="281"/>
    </row>
    <row r="2526" spans="1:39">
      <c r="B2526" s="275"/>
      <c r="C2526" s="105"/>
      <c r="D2526" s="276"/>
      <c r="E2526" s="105"/>
      <c r="F2526" s="105"/>
      <c r="G2526" s="105"/>
      <c r="H2526" s="105"/>
      <c r="I2526" s="105"/>
      <c r="J2526" s="105"/>
      <c r="K2526" s="105"/>
      <c r="L2526" s="105"/>
      <c r="M2526" s="105"/>
      <c r="N2526" s="105"/>
      <c r="O2526" s="105"/>
      <c r="AG2526" s="287"/>
    </row>
    <row r="2527" spans="1:39">
      <c r="B2527" s="275"/>
      <c r="C2527" s="105"/>
      <c r="AF2527" s="2" t="s">
        <v>1</v>
      </c>
      <c r="AG2527" s="287"/>
      <c r="AM2527" s="71"/>
    </row>
    <row r="2528" spans="1:39">
      <c r="B2528" s="288"/>
      <c r="C2528" s="105"/>
      <c r="AK2528" s="71"/>
    </row>
    <row r="2529" spans="1:46">
      <c r="B2529" s="288"/>
      <c r="C2529" s="105"/>
    </row>
    <row r="2530" spans="1:46">
      <c r="B2530" s="288"/>
      <c r="C2530" s="105"/>
    </row>
    <row r="2531" spans="1:46">
      <c r="B2531" s="275"/>
      <c r="AN2531" s="71"/>
    </row>
    <row r="2532" spans="1:46">
      <c r="B2532" s="275"/>
    </row>
    <row r="2533" spans="1:46">
      <c r="B2533" s="275"/>
      <c r="AO2533" s="71"/>
    </row>
    <row r="2534" spans="1:46">
      <c r="B2534" s="275"/>
    </row>
    <row r="2535" spans="1:46">
      <c r="B2535" s="275"/>
    </row>
    <row r="2536" spans="1:46">
      <c r="B2536" s="275"/>
    </row>
    <row r="2537" spans="1:46">
      <c r="B2537" s="275"/>
    </row>
    <row r="2538" spans="1:46">
      <c r="AP2538" s="71"/>
      <c r="AQ2538" s="71"/>
    </row>
    <row r="2539" spans="1:46">
      <c r="AR2539" s="71"/>
    </row>
    <row r="2540" spans="1:46" ht="20.25" customHeight="1">
      <c r="AS2540" s="71"/>
    </row>
    <row r="2541" spans="1:46">
      <c r="AT2541" s="71"/>
    </row>
    <row r="2542" spans="1:46" ht="29.25" customHeight="1"/>
    <row r="2543" spans="1:46" ht="30" customHeight="1"/>
    <row r="2544" spans="1:46" s="71" customFormat="1" ht="21" customHeight="1">
      <c r="A2544" s="1"/>
      <c r="B2544" s="274"/>
      <c r="C2544" s="2"/>
      <c r="D2544" s="286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74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2"/>
      <c r="AQ2544" s="2"/>
      <c r="AR2544" s="2"/>
      <c r="AS2544" s="2"/>
      <c r="AT2544" s="2"/>
    </row>
    <row r="2545" spans="1:46" s="71" customFormat="1" ht="22.5" customHeight="1">
      <c r="A2545" s="1"/>
      <c r="B2545" s="274"/>
      <c r="C2545" s="2"/>
      <c r="D2545" s="286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74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2"/>
      <c r="AQ2545" s="2"/>
      <c r="AR2545" s="2"/>
      <c r="AS2545" s="2"/>
      <c r="AT2545" s="2"/>
    </row>
    <row r="2546" spans="1:46" s="71" customFormat="1" ht="18.75" customHeight="1">
      <c r="A2546" s="1"/>
      <c r="B2546" s="274"/>
      <c r="C2546" s="2"/>
      <c r="D2546" s="286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74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2"/>
      <c r="AR2546" s="2"/>
      <c r="AS2546" s="2"/>
      <c r="AT2546" s="2"/>
    </row>
    <row r="2547" spans="1:46" ht="27.75" customHeight="1"/>
    <row r="2548" spans="1:46" ht="29.25" customHeight="1"/>
    <row r="2549" spans="1:46">
      <c r="AK2549" s="71"/>
    </row>
    <row r="2550" spans="1:46">
      <c r="AK2550" s="71"/>
    </row>
    <row r="2551" spans="1:46">
      <c r="AK2551" s="71"/>
    </row>
    <row r="2552" spans="1:46">
      <c r="AK2552" s="71"/>
    </row>
    <row r="2553" spans="1:46">
      <c r="AK2553" s="71"/>
    </row>
    <row r="2554" spans="1:46">
      <c r="AK2554" s="71"/>
    </row>
    <row r="2555" spans="1:46">
      <c r="AK2555" s="71"/>
    </row>
    <row r="2589" spans="1:1">
      <c r="A2589" s="72" t="e">
        <f>#REF!+1</f>
        <v>#REF!</v>
      </c>
    </row>
    <row r="2596" spans="1:41">
      <c r="AK2596" s="71"/>
      <c r="AL2596" s="71"/>
    </row>
    <row r="2600" spans="1:41">
      <c r="AM2600" s="71"/>
    </row>
    <row r="2603" spans="1:41">
      <c r="AN2603" s="71"/>
    </row>
    <row r="2604" spans="1:41">
      <c r="A2604" s="72" t="e">
        <f>A2589+1</f>
        <v>#REF!</v>
      </c>
    </row>
    <row r="2605" spans="1:41">
      <c r="AO2605" s="71"/>
    </row>
    <row r="2609" spans="1:46">
      <c r="AL2609" s="71"/>
    </row>
    <row r="2610" spans="1:46">
      <c r="AP2610" s="71"/>
      <c r="AQ2610" s="71"/>
    </row>
    <row r="2611" spans="1:46">
      <c r="AR2611" s="71"/>
    </row>
    <row r="2612" spans="1:46">
      <c r="AS2612" s="71"/>
    </row>
    <row r="2613" spans="1:46">
      <c r="AM2613" s="71"/>
      <c r="AT2613" s="71"/>
    </row>
    <row r="2614" spans="1:46" ht="15" customHeight="1"/>
    <row r="2616" spans="1:46" s="71" customFormat="1">
      <c r="A2616" s="1"/>
      <c r="B2616" s="274"/>
      <c r="C2616" s="2"/>
      <c r="D2616" s="286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74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O2616" s="2"/>
      <c r="AP2616" s="2"/>
      <c r="AQ2616" s="2"/>
      <c r="AR2616" s="2"/>
      <c r="AS2616" s="2"/>
      <c r="AT2616" s="2"/>
    </row>
    <row r="2620" spans="1:46">
      <c r="AO2620" s="71"/>
    </row>
    <row r="2625" spans="1:46">
      <c r="A2625" s="72" t="e">
        <f>A2604+1</f>
        <v>#REF!</v>
      </c>
      <c r="AP2625" s="71"/>
      <c r="AQ2625" s="71"/>
    </row>
    <row r="2626" spans="1:46">
      <c r="AR2626" s="71"/>
    </row>
    <row r="2627" spans="1:46" ht="29.25" customHeight="1">
      <c r="AS2627" s="71"/>
    </row>
    <row r="2628" spans="1:46">
      <c r="AT2628" s="71"/>
    </row>
    <row r="2631" spans="1:46" s="71" customFormat="1" ht="28.5" customHeight="1">
      <c r="A2631" s="1"/>
      <c r="B2631" s="274"/>
      <c r="C2631" s="2"/>
      <c r="D2631" s="286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74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2"/>
      <c r="AQ2631" s="2"/>
      <c r="AR2631" s="2"/>
      <c r="AS2631" s="2"/>
      <c r="AT2631" s="2"/>
    </row>
    <row r="2636" spans="1:46">
      <c r="A2636" s="1" t="e">
        <f>A2625+1</f>
        <v>#REF!</v>
      </c>
    </row>
    <row r="2639" spans="1:46">
      <c r="AL2639" s="71"/>
    </row>
    <row r="2644" spans="1:40">
      <c r="A2644" s="72" t="e">
        <f>A2636+1</f>
        <v>#REF!</v>
      </c>
    </row>
    <row r="2650" spans="1:40">
      <c r="AM2650" s="71"/>
    </row>
    <row r="2652" spans="1:40">
      <c r="A2652" s="72" t="e">
        <f>A2644+1</f>
        <v>#REF!</v>
      </c>
    </row>
    <row r="2653" spans="1:40">
      <c r="AN2653" s="71"/>
    </row>
    <row r="2657" spans="1:46">
      <c r="AO2657" s="71"/>
    </row>
    <row r="2660" spans="1:46">
      <c r="A2660" s="72" t="e">
        <f>A2652+1</f>
        <v>#REF!</v>
      </c>
    </row>
    <row r="2662" spans="1:46">
      <c r="AP2662" s="71"/>
      <c r="AQ2662" s="71"/>
    </row>
    <row r="2663" spans="1:46">
      <c r="AR2663" s="71"/>
    </row>
    <row r="2664" spans="1:46">
      <c r="AS2664" s="71"/>
    </row>
    <row r="2665" spans="1:46" ht="21" customHeight="1">
      <c r="AT2665" s="71"/>
    </row>
    <row r="2666" spans="1:46" ht="21" customHeight="1"/>
    <row r="2667" spans="1:46" ht="18.75" customHeight="1"/>
    <row r="2668" spans="1:46" s="71" customFormat="1" ht="24.75" customHeight="1">
      <c r="A2668" s="72" t="e">
        <f>A2660+1</f>
        <v>#REF!</v>
      </c>
      <c r="B2668" s="274"/>
      <c r="C2668" s="2"/>
      <c r="D2668" s="286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74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2"/>
      <c r="AR2668" s="2"/>
      <c r="AS2668" s="2"/>
      <c r="AT2668" s="2"/>
    </row>
    <row r="2669" spans="1:46" ht="31.5" customHeight="1"/>
    <row r="2671" spans="1:46" ht="30.75" customHeight="1"/>
    <row r="2672" spans="1:46" ht="20.25" customHeight="1"/>
    <row r="2676" spans="1:39">
      <c r="A2676" s="72" t="e">
        <f>A2668+1</f>
        <v>#REF!</v>
      </c>
    </row>
    <row r="2682" spans="1:39">
      <c r="AL2682" s="71"/>
    </row>
    <row r="2684" spans="1:39">
      <c r="A2684" s="72" t="e">
        <f>A2676+1</f>
        <v>#REF!</v>
      </c>
    </row>
    <row r="2686" spans="1:39">
      <c r="AM2686" s="71"/>
    </row>
    <row r="2689" spans="1:46">
      <c r="AN2689" s="71"/>
    </row>
    <row r="2691" spans="1:46">
      <c r="AO2691" s="71"/>
    </row>
    <row r="2692" spans="1:46">
      <c r="A2692" s="72" t="e">
        <f>A2684+1</f>
        <v>#REF!</v>
      </c>
    </row>
    <row r="2696" spans="1:46">
      <c r="AP2696" s="71"/>
      <c r="AQ2696" s="71"/>
    </row>
    <row r="2697" spans="1:46" ht="30" customHeight="1">
      <c r="AR2697" s="71"/>
    </row>
    <row r="2698" spans="1:46" ht="27.75" customHeight="1">
      <c r="AS2698" s="71"/>
    </row>
    <row r="2699" spans="1:46" ht="30.75" customHeight="1">
      <c r="AT2699" s="71"/>
    </row>
    <row r="2700" spans="1:46" ht="30" customHeight="1">
      <c r="A2700" s="72" t="e">
        <f>A2692+1</f>
        <v>#REF!</v>
      </c>
    </row>
    <row r="2701" spans="1:46" ht="28.5" customHeight="1"/>
    <row r="2702" spans="1:46" s="71" customFormat="1">
      <c r="A2702" s="1"/>
      <c r="B2702" s="274"/>
      <c r="C2702" s="2"/>
      <c r="D2702" s="286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74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2"/>
      <c r="AQ2702" s="2"/>
      <c r="AR2702" s="2"/>
      <c r="AS2702" s="2"/>
      <c r="AT2702" s="2"/>
    </row>
    <row r="2703" spans="1:46" ht="31.5" customHeight="1"/>
    <row r="2704" spans="1:46" ht="27.75" customHeight="1"/>
    <row r="2708" spans="1:1">
      <c r="A2708" s="72" t="e">
        <f>A2700+1</f>
        <v>#REF!</v>
      </c>
    </row>
    <row r="2716" spans="1:1">
      <c r="A2716" s="72" t="e">
        <f>A2708+1</f>
        <v>#REF!</v>
      </c>
    </row>
    <row r="2724" spans="1:1">
      <c r="A2724" s="72" t="e">
        <f>A2716+1</f>
        <v>#REF!</v>
      </c>
    </row>
    <row r="2732" spans="1:1">
      <c r="A2732" s="72" t="e">
        <f>A2724+1</f>
        <v>#REF!</v>
      </c>
    </row>
    <row r="2740" spans="1:1">
      <c r="A2740" s="72" t="e">
        <f>A2732+1</f>
        <v>#REF!</v>
      </c>
    </row>
    <row r="2748" spans="1:1">
      <c r="A2748" s="72" t="e">
        <f>A2740+1</f>
        <v>#REF!</v>
      </c>
    </row>
    <row r="2757" spans="1:1">
      <c r="A2757" s="72" t="e">
        <f>A2748+1</f>
        <v>#REF!</v>
      </c>
    </row>
    <row r="2765" spans="1:1">
      <c r="A2765" s="72" t="e">
        <f>A2757+1</f>
        <v>#REF!</v>
      </c>
    </row>
    <row r="2773" spans="1:1">
      <c r="A2773" s="72" t="e">
        <f>A2765+1</f>
        <v>#REF!</v>
      </c>
    </row>
    <row r="2781" spans="1:1">
      <c r="A2781" s="72" t="e">
        <f>A2773+1</f>
        <v>#REF!</v>
      </c>
    </row>
    <row r="2787" spans="1:37">
      <c r="A2787" s="72" t="e">
        <f>A2781+1</f>
        <v>#REF!</v>
      </c>
    </row>
    <row r="2793" spans="1:37">
      <c r="A2793" s="72" t="e">
        <f>A2787+1</f>
        <v>#REF!</v>
      </c>
    </row>
    <row r="2795" spans="1:37">
      <c r="AK2795" s="71"/>
    </row>
    <row r="2799" spans="1:37">
      <c r="A2799" s="72" t="e">
        <f>A2793+1</f>
        <v>#REF!</v>
      </c>
    </row>
    <row r="2804" spans="1:37">
      <c r="A2804" s="72" t="e">
        <f>A2799+1</f>
        <v>#REF!</v>
      </c>
    </row>
    <row r="2810" spans="1:37">
      <c r="A2810" s="72" t="e">
        <f>A2804+1</f>
        <v>#REF!</v>
      </c>
    </row>
    <row r="2811" spans="1:37">
      <c r="AK2811" s="71"/>
    </row>
    <row r="2815" spans="1:37">
      <c r="A2815" s="72" t="e">
        <f>A2810+1</f>
        <v>#REF!</v>
      </c>
    </row>
    <row r="2821" spans="1:37">
      <c r="A2821" s="72" t="e">
        <f>A2815+1</f>
        <v>#REF!</v>
      </c>
    </row>
    <row r="2827" spans="1:37">
      <c r="A2827" s="72" t="e">
        <f>A2821+1</f>
        <v>#REF!</v>
      </c>
    </row>
    <row r="2832" spans="1:37">
      <c r="AK2832" s="71"/>
    </row>
    <row r="2833" spans="1:1">
      <c r="A2833" s="72" t="e">
        <f>A2827+1</f>
        <v>#REF!</v>
      </c>
    </row>
    <row r="2838" spans="1:1">
      <c r="A2838" s="72" t="e">
        <f>A2833+1</f>
        <v>#REF!</v>
      </c>
    </row>
    <row r="2843" spans="1:1">
      <c r="A2843" s="72" t="e">
        <f>A2838+1</f>
        <v>#REF!</v>
      </c>
    </row>
    <row r="2849" spans="1:37">
      <c r="A2849" s="72" t="e">
        <f>A2843+1</f>
        <v>#REF!</v>
      </c>
    </row>
    <row r="2851" spans="1:37">
      <c r="AK2851" s="71"/>
    </row>
    <row r="2855" spans="1:37">
      <c r="A2855" s="72" t="e">
        <f>A2849+1</f>
        <v>#REF!</v>
      </c>
    </row>
    <row r="2861" spans="1:37">
      <c r="A2861" s="72" t="e">
        <f>A2855+1</f>
        <v>#REF!</v>
      </c>
    </row>
    <row r="2867" spans="1:38">
      <c r="A2867" s="72" t="e">
        <f>A2861+1</f>
        <v>#REF!</v>
      </c>
    </row>
    <row r="2879" spans="1:38">
      <c r="AL2879" s="71"/>
    </row>
    <row r="2884" spans="38:44">
      <c r="AM2884" s="71"/>
    </row>
    <row r="2887" spans="38:44">
      <c r="AN2887" s="71"/>
    </row>
    <row r="2889" spans="38:44" ht="22.5" customHeight="1">
      <c r="AO2889" s="71"/>
    </row>
    <row r="2891" spans="38:44" ht="25.5" customHeight="1"/>
    <row r="2892" spans="38:44" ht="16.5" customHeight="1"/>
    <row r="2893" spans="38:44" ht="10.5" customHeight="1"/>
    <row r="2894" spans="38:44" ht="34.5" customHeight="1">
      <c r="AL2894" s="71"/>
      <c r="AP2894" s="71"/>
    </row>
    <row r="2895" spans="38:44" ht="24.75" customHeight="1">
      <c r="AQ2895" s="71"/>
    </row>
    <row r="2896" spans="38:44" ht="45" customHeight="1">
      <c r="AR2896" s="71"/>
    </row>
    <row r="2897" spans="1:46" ht="38.25" customHeight="1">
      <c r="A2897" s="72" t="e">
        <f>A2867+1</f>
        <v>#REF!</v>
      </c>
    </row>
    <row r="2898" spans="1:46" ht="27.75" customHeight="1">
      <c r="AS2898" s="71"/>
    </row>
    <row r="2899" spans="1:46">
      <c r="AM2899" s="71"/>
      <c r="AT2899" s="71"/>
    </row>
    <row r="2902" spans="1:46" s="71" customFormat="1">
      <c r="A2902" s="1"/>
      <c r="B2902" s="274"/>
      <c r="C2902" s="2"/>
      <c r="D2902" s="286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74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  <c r="AM2902" s="2"/>
      <c r="AO2902" s="2"/>
      <c r="AP2902" s="2"/>
      <c r="AQ2902" s="2"/>
      <c r="AR2902" s="2"/>
      <c r="AS2902" s="2"/>
      <c r="AT2902" s="2"/>
    </row>
    <row r="2904" spans="1:46" ht="15" customHeight="1">
      <c r="AO2904" s="71"/>
    </row>
    <row r="2909" spans="1:46">
      <c r="AP2909" s="71"/>
    </row>
    <row r="2910" spans="1:46">
      <c r="AQ2910" s="71"/>
    </row>
    <row r="2911" spans="1:46">
      <c r="AR2911" s="71"/>
    </row>
    <row r="2913" spans="1:46">
      <c r="AS2913" s="71"/>
    </row>
    <row r="2914" spans="1:46">
      <c r="AT2914" s="71"/>
    </row>
    <row r="2915" spans="1:46">
      <c r="AL2915" s="71"/>
    </row>
    <row r="2917" spans="1:46" s="71" customFormat="1">
      <c r="A2917" s="1"/>
      <c r="B2917" s="274"/>
      <c r="C2917" s="2"/>
      <c r="D2917" s="286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74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2"/>
      <c r="AR2917" s="2"/>
      <c r="AS2917" s="2"/>
      <c r="AT2917" s="2"/>
    </row>
    <row r="2920" spans="1:46">
      <c r="AM2920" s="71"/>
    </row>
    <row r="2922" spans="1:46">
      <c r="A2922" s="72" t="e">
        <f>A2897+1</f>
        <v>#REF!</v>
      </c>
    </row>
    <row r="2923" spans="1:46">
      <c r="AN2923" s="71"/>
    </row>
    <row r="2925" spans="1:46">
      <c r="AO2925" s="71"/>
    </row>
    <row r="2930" spans="1:46">
      <c r="AP2930" s="71"/>
    </row>
    <row r="2931" spans="1:46">
      <c r="AQ2931" s="71"/>
    </row>
    <row r="2932" spans="1:46">
      <c r="AR2932" s="71"/>
    </row>
    <row r="2934" spans="1:46">
      <c r="AL2934" s="71"/>
      <c r="AS2934" s="71"/>
    </row>
    <row r="2935" spans="1:46">
      <c r="AT2935" s="71"/>
    </row>
    <row r="2938" spans="1:46" s="71" customFormat="1">
      <c r="A2938" s="1"/>
      <c r="B2938" s="274"/>
      <c r="C2938" s="2"/>
      <c r="D2938" s="286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74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/>
      <c r="AQ2938" s="2"/>
      <c r="AR2938" s="2"/>
      <c r="AS2938" s="2"/>
      <c r="AT2938" s="2"/>
    </row>
    <row r="2939" spans="1:46">
      <c r="AM2939" s="71"/>
    </row>
    <row r="2942" spans="1:46">
      <c r="AN2942" s="71"/>
    </row>
    <row r="2944" spans="1:46">
      <c r="AP2944" s="71"/>
    </row>
    <row r="2946" spans="1:47">
      <c r="A2946" s="72" t="e">
        <f>A2922+1</f>
        <v>#REF!</v>
      </c>
    </row>
    <row r="2949" spans="1:47">
      <c r="AQ2949" s="71"/>
    </row>
    <row r="2950" spans="1:47">
      <c r="AR2950" s="71"/>
    </row>
    <row r="2951" spans="1:47">
      <c r="AS2951" s="71"/>
    </row>
    <row r="2953" spans="1:47">
      <c r="AT2953" s="71"/>
    </row>
    <row r="2954" spans="1:47">
      <c r="AU2954" s="71"/>
    </row>
    <row r="2957" spans="1:47" s="71" customFormat="1">
      <c r="A2957" s="1"/>
      <c r="B2957" s="274"/>
      <c r="C2957" s="2"/>
      <c r="D2957" s="286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74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2"/>
      <c r="AQ2957" s="2"/>
      <c r="AR2957" s="2"/>
      <c r="AS2957" s="2"/>
      <c r="AT2957" s="2"/>
      <c r="AU2957" s="2"/>
    </row>
    <row r="2964" spans="38:38">
      <c r="AL2964" s="71"/>
    </row>
    <row r="2994" spans="1:38">
      <c r="AL2994" s="71"/>
    </row>
    <row r="3006" spans="1:38">
      <c r="A3006" s="72" t="e">
        <f>A2946+1</f>
        <v>#REF!</v>
      </c>
    </row>
    <row r="3007" spans="1:38">
      <c r="A3007" s="72"/>
    </row>
    <row r="3011" spans="38:38">
      <c r="AL3011" s="71"/>
    </row>
    <row r="3047" spans="38:41">
      <c r="AM3047" s="71"/>
    </row>
    <row r="3050" spans="38:41">
      <c r="AL3050" s="71"/>
    </row>
    <row r="3052" spans="38:41">
      <c r="AN3052" s="71"/>
    </row>
    <row r="3055" spans="38:41">
      <c r="AO3055" s="71"/>
    </row>
    <row r="3057" spans="1:47">
      <c r="AP3057" s="71"/>
    </row>
    <row r="3062" spans="1:47">
      <c r="AQ3062" s="71"/>
    </row>
    <row r="3063" spans="1:47">
      <c r="AR3063" s="71"/>
    </row>
    <row r="3064" spans="1:47">
      <c r="AS3064" s="71"/>
    </row>
    <row r="3066" spans="1:47">
      <c r="AT3066" s="71"/>
    </row>
    <row r="3067" spans="1:47">
      <c r="AU3067" s="71"/>
    </row>
    <row r="3070" spans="1:47" s="71" customFormat="1">
      <c r="A3070" s="1"/>
      <c r="B3070" s="274"/>
      <c r="C3070" s="2"/>
      <c r="D3070" s="286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74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  <c r="AL3070" s="2"/>
      <c r="AM3070" s="2"/>
      <c r="AN3070" s="2"/>
      <c r="AO3070" s="2"/>
      <c r="AP3070" s="2"/>
      <c r="AQ3070" s="2"/>
      <c r="AR3070" s="2"/>
      <c r="AS3070" s="2"/>
      <c r="AT3070" s="2"/>
      <c r="AU3070" s="2"/>
    </row>
    <row r="3077" spans="39:42">
      <c r="AM3077" s="71"/>
    </row>
    <row r="3082" spans="39:42">
      <c r="AN3082" s="71"/>
    </row>
    <row r="3085" spans="39:42">
      <c r="AO3085" s="71"/>
    </row>
    <row r="3087" spans="39:42">
      <c r="AP3087" s="71"/>
    </row>
    <row r="3092" spans="1:47">
      <c r="AQ3092" s="71"/>
    </row>
    <row r="3093" spans="1:47">
      <c r="AR3093" s="71"/>
    </row>
    <row r="3094" spans="1:47">
      <c r="AM3094" s="71"/>
      <c r="AS3094" s="71"/>
    </row>
    <row r="3096" spans="1:47">
      <c r="AT3096" s="71"/>
    </row>
    <row r="3097" spans="1:47">
      <c r="AU3097" s="71"/>
    </row>
    <row r="3099" spans="1:47">
      <c r="AN3099" s="71"/>
    </row>
    <row r="3100" spans="1:47" s="71" customFormat="1">
      <c r="A3100" s="1"/>
      <c r="B3100" s="274"/>
      <c r="C3100" s="2"/>
      <c r="D3100" s="286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74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  <c r="AL3100" s="2"/>
      <c r="AM3100" s="2"/>
      <c r="AN3100" s="2"/>
      <c r="AO3100" s="2"/>
      <c r="AP3100" s="2"/>
      <c r="AQ3100" s="2"/>
      <c r="AR3100" s="2"/>
      <c r="AS3100" s="2"/>
      <c r="AT3100" s="2"/>
      <c r="AU3100" s="2"/>
    </row>
    <row r="3102" spans="1:47">
      <c r="AO3102" s="71"/>
    </row>
    <row r="3104" spans="1:47">
      <c r="AL3104" s="71"/>
      <c r="AP3104" s="71"/>
    </row>
    <row r="3109" spans="1:47">
      <c r="AQ3109" s="71"/>
    </row>
    <row r="3110" spans="1:47">
      <c r="AR3110" s="71"/>
    </row>
    <row r="3111" spans="1:47">
      <c r="AS3111" s="71"/>
    </row>
    <row r="3113" spans="1:47">
      <c r="AT3113" s="71"/>
    </row>
    <row r="3114" spans="1:47">
      <c r="AU3114" s="71"/>
    </row>
    <row r="3117" spans="1:47" s="71" customFormat="1">
      <c r="A3117" s="1"/>
      <c r="B3117" s="274"/>
      <c r="C3117" s="2"/>
      <c r="D3117" s="286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74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  <c r="AL3117" s="2"/>
      <c r="AM3117" s="2"/>
      <c r="AN3117" s="2"/>
      <c r="AO3117" s="2"/>
      <c r="AP3117" s="2"/>
      <c r="AQ3117" s="2"/>
      <c r="AR3117" s="2"/>
      <c r="AS3117" s="2"/>
      <c r="AT3117" s="2"/>
      <c r="AU3117" s="2"/>
    </row>
    <row r="3129" spans="1:39">
      <c r="AL3129" s="71"/>
    </row>
    <row r="3133" spans="1:39">
      <c r="AM3133" s="71"/>
    </row>
    <row r="3136" spans="1:39">
      <c r="A3136" s="1" t="e">
        <f>A3006+1</f>
        <v>#REF!</v>
      </c>
    </row>
    <row r="3138" spans="40:46">
      <c r="AN3138" s="71"/>
    </row>
    <row r="3141" spans="40:46">
      <c r="AO3141" s="71"/>
    </row>
    <row r="3143" spans="40:46">
      <c r="AP3143" s="71"/>
    </row>
    <row r="3148" spans="40:46">
      <c r="AQ3148" s="71"/>
    </row>
    <row r="3149" spans="40:46">
      <c r="AR3149" s="71"/>
    </row>
    <row r="3150" spans="40:46">
      <c r="AS3150" s="71"/>
    </row>
    <row r="3152" spans="40:46">
      <c r="AT3152" s="71"/>
    </row>
    <row r="3153" spans="1:47">
      <c r="AL3153" s="71"/>
      <c r="AU3153" s="71"/>
    </row>
    <row r="3156" spans="1:47" s="71" customFormat="1">
      <c r="A3156" s="1"/>
      <c r="B3156" s="274"/>
      <c r="C3156" s="2"/>
      <c r="D3156" s="286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74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  <c r="AL3156" s="2"/>
      <c r="AM3156" s="2"/>
      <c r="AN3156" s="2"/>
      <c r="AO3156" s="2"/>
      <c r="AP3156" s="2"/>
      <c r="AQ3156" s="2"/>
      <c r="AR3156" s="2"/>
      <c r="AS3156" s="2"/>
      <c r="AT3156" s="2"/>
      <c r="AU3156" s="2"/>
    </row>
    <row r="3171" spans="1:1">
      <c r="A3171" s="1" t="e">
        <f>A3136+1</f>
        <v>#REF!</v>
      </c>
    </row>
    <row r="3187" spans="39:42">
      <c r="AM3187" s="71"/>
    </row>
    <row r="3192" spans="39:42">
      <c r="AN3192" s="71"/>
    </row>
    <row r="3195" spans="39:42">
      <c r="AO3195" s="71"/>
    </row>
    <row r="3197" spans="39:42">
      <c r="AP3197" s="71"/>
    </row>
    <row r="3202" spans="1:47">
      <c r="AQ3202" s="71"/>
    </row>
    <row r="3203" spans="1:47">
      <c r="AR3203" s="71"/>
    </row>
    <row r="3204" spans="1:47">
      <c r="AS3204" s="71"/>
    </row>
    <row r="3206" spans="1:47">
      <c r="AT3206" s="71"/>
    </row>
    <row r="3207" spans="1:47">
      <c r="AU3207" s="71"/>
    </row>
    <row r="3210" spans="1:47" s="71" customFormat="1">
      <c r="A3210" s="1"/>
      <c r="B3210" s="274"/>
      <c r="C3210" s="2"/>
      <c r="D3210" s="286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74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  <c r="AL3210" s="2"/>
      <c r="AM3210" s="2"/>
      <c r="AN3210" s="2"/>
      <c r="AO3210" s="2"/>
      <c r="AP3210" s="2"/>
      <c r="AQ3210" s="2"/>
      <c r="AR3210" s="2"/>
      <c r="AS3210" s="2"/>
      <c r="AT3210" s="2"/>
      <c r="AU3210" s="2"/>
    </row>
    <row r="3212" spans="1:47">
      <c r="AM3212" s="71"/>
    </row>
    <row r="3213" spans="1:47">
      <c r="AL3213" s="71"/>
    </row>
    <row r="3214" spans="1:47">
      <c r="AL3214" s="71"/>
    </row>
    <row r="3217" spans="1:47">
      <c r="AN3217" s="71"/>
    </row>
    <row r="3218" spans="1:47">
      <c r="A3218" s="72" t="e">
        <f>A3171+1</f>
        <v>#REF!</v>
      </c>
    </row>
    <row r="3219" spans="1:47">
      <c r="A3219" s="72"/>
    </row>
    <row r="3220" spans="1:47">
      <c r="AO3220" s="71"/>
    </row>
    <row r="3222" spans="1:47">
      <c r="AP3222" s="71"/>
    </row>
    <row r="3227" spans="1:47">
      <c r="AQ3227" s="71"/>
    </row>
    <row r="3228" spans="1:47">
      <c r="AR3228" s="71"/>
    </row>
    <row r="3229" spans="1:47">
      <c r="AS3229" s="71"/>
    </row>
    <row r="3231" spans="1:47">
      <c r="AT3231" s="71"/>
    </row>
    <row r="3232" spans="1:47">
      <c r="AU3232" s="71"/>
    </row>
    <row r="3235" spans="1:47" s="71" customFormat="1">
      <c r="A3235" s="1"/>
      <c r="B3235" s="274"/>
      <c r="C3235" s="2"/>
      <c r="D3235" s="286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74"/>
      <c r="Z3235" s="2"/>
      <c r="AA3235" s="2"/>
      <c r="AB3235" s="2"/>
      <c r="AC3235" s="2"/>
      <c r="AD3235" s="2"/>
      <c r="AE3235" s="2"/>
      <c r="AF3235" s="2"/>
      <c r="AG3235" s="2"/>
      <c r="AH3235" s="2"/>
      <c r="AI3235" s="2"/>
      <c r="AJ3235" s="2"/>
      <c r="AK3235" s="2"/>
      <c r="AL3235" s="2"/>
      <c r="AM3235" s="2"/>
      <c r="AN3235" s="2"/>
      <c r="AO3235" s="2"/>
      <c r="AP3235" s="2"/>
      <c r="AQ3235" s="2"/>
      <c r="AR3235" s="2"/>
      <c r="AS3235" s="2"/>
      <c r="AT3235" s="2"/>
      <c r="AU3235" s="2"/>
    </row>
    <row r="3236" spans="1:47">
      <c r="AM3236" s="71"/>
    </row>
    <row r="3241" spans="1:47">
      <c r="AN3241" s="71"/>
    </row>
    <row r="3244" spans="1:47">
      <c r="AO3244" s="71"/>
    </row>
    <row r="3246" spans="1:47">
      <c r="AP3246" s="71"/>
    </row>
    <row r="3251" spans="1:47">
      <c r="AQ3251" s="71"/>
    </row>
    <row r="3252" spans="1:47">
      <c r="AR3252" s="71"/>
    </row>
    <row r="3253" spans="1:47">
      <c r="AS3253" s="71"/>
    </row>
    <row r="3255" spans="1:47">
      <c r="AT3255" s="71"/>
    </row>
    <row r="3256" spans="1:47">
      <c r="AU3256" s="71"/>
    </row>
    <row r="3259" spans="1:47" s="71" customFormat="1">
      <c r="A3259" s="1"/>
      <c r="B3259" s="274"/>
      <c r="C3259" s="2"/>
      <c r="D3259" s="286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74"/>
      <c r="Z3259" s="2"/>
      <c r="AA3259" s="2"/>
      <c r="AB3259" s="2"/>
      <c r="AC3259" s="2"/>
      <c r="AD3259" s="2"/>
      <c r="AE3259" s="2"/>
      <c r="AF3259" s="2"/>
      <c r="AG3259" s="2"/>
      <c r="AH3259" s="2"/>
      <c r="AI3259" s="2"/>
      <c r="AJ3259" s="2"/>
      <c r="AK3259" s="2"/>
      <c r="AL3259" s="2"/>
      <c r="AM3259" s="2"/>
      <c r="AN3259" s="2"/>
      <c r="AO3259" s="2"/>
      <c r="AP3259" s="2"/>
      <c r="AQ3259" s="2"/>
      <c r="AR3259" s="2"/>
      <c r="AS3259" s="2"/>
      <c r="AT3259" s="2"/>
      <c r="AU3259" s="2"/>
    </row>
    <row r="3296" spans="39:39">
      <c r="AM3296" s="71"/>
    </row>
    <row r="3297" spans="39:44">
      <c r="AM3297" s="71"/>
    </row>
    <row r="3301" spans="39:44">
      <c r="AN3301" s="71"/>
    </row>
    <row r="3302" spans="39:44">
      <c r="AN3302" s="71"/>
    </row>
    <row r="3304" spans="39:44">
      <c r="AO3304" s="71"/>
    </row>
    <row r="3305" spans="39:44">
      <c r="AO3305" s="71"/>
    </row>
    <row r="3306" spans="39:44">
      <c r="AP3306" s="71"/>
    </row>
    <row r="3307" spans="39:44">
      <c r="AP3307" s="71"/>
    </row>
    <row r="3311" spans="39:44">
      <c r="AQ3311" s="71"/>
    </row>
    <row r="3312" spans="39:44">
      <c r="AQ3312" s="71"/>
      <c r="AR3312" s="71"/>
    </row>
    <row r="3313" spans="1:47">
      <c r="AR3313" s="71"/>
      <c r="AS3313" s="71"/>
    </row>
    <row r="3314" spans="1:47">
      <c r="AS3314" s="71"/>
    </row>
    <row r="3315" spans="1:47">
      <c r="AT3315" s="71"/>
    </row>
    <row r="3316" spans="1:47">
      <c r="AT3316" s="71"/>
      <c r="AU3316" s="71"/>
    </row>
    <row r="3317" spans="1:47">
      <c r="AU3317" s="71"/>
    </row>
    <row r="3319" spans="1:47" s="71" customFormat="1">
      <c r="A3319" s="1"/>
      <c r="B3319" s="274"/>
      <c r="C3319" s="2"/>
      <c r="D3319" s="286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74"/>
      <c r="Z3319" s="2"/>
      <c r="AA3319" s="2"/>
      <c r="AB3319" s="2"/>
      <c r="AC3319" s="2"/>
      <c r="AD3319" s="2"/>
      <c r="AE3319" s="2"/>
      <c r="AF3319" s="2"/>
      <c r="AG3319" s="2"/>
      <c r="AH3319" s="2"/>
      <c r="AI3319" s="2"/>
      <c r="AJ3319" s="2"/>
      <c r="AK3319" s="2"/>
      <c r="AL3319" s="2"/>
      <c r="AM3319" s="2"/>
      <c r="AN3319" s="2"/>
      <c r="AO3319" s="2"/>
      <c r="AP3319" s="2"/>
      <c r="AQ3319" s="2"/>
      <c r="AR3319" s="2"/>
      <c r="AS3319" s="2"/>
      <c r="AT3319" s="2"/>
      <c r="AU3319" s="2"/>
    </row>
    <row r="3320" spans="1:47" s="71" customFormat="1">
      <c r="A3320" s="1"/>
      <c r="B3320" s="274"/>
      <c r="C3320" s="2"/>
      <c r="D3320" s="286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74"/>
      <c r="Z3320" s="2"/>
      <c r="AA3320" s="2"/>
      <c r="AB3320" s="2"/>
      <c r="AC3320" s="2"/>
      <c r="AD3320" s="2"/>
      <c r="AE3320" s="2"/>
      <c r="AF3320" s="2"/>
      <c r="AG3320" s="2"/>
      <c r="AH3320" s="2"/>
      <c r="AI3320" s="2"/>
      <c r="AJ3320" s="2"/>
      <c r="AK3320" s="2"/>
      <c r="AL3320" s="2"/>
      <c r="AM3320" s="2"/>
      <c r="AN3320" s="2"/>
      <c r="AO3320" s="2"/>
      <c r="AP3320" s="2"/>
      <c r="AQ3320" s="2"/>
      <c r="AR3320" s="2"/>
      <c r="AS3320" s="2"/>
      <c r="AT3320" s="2"/>
      <c r="AU3320" s="2"/>
    </row>
    <row r="3425" spans="38:38">
      <c r="AL3425" s="71"/>
    </row>
    <row r="3426" spans="38:38">
      <c r="AL3426" s="71"/>
    </row>
    <row r="3508" spans="39:42">
      <c r="AM3508" s="71"/>
    </row>
    <row r="3509" spans="39:42">
      <c r="AM3509" s="71"/>
    </row>
    <row r="3513" spans="39:42">
      <c r="AN3513" s="71"/>
    </row>
    <row r="3514" spans="39:42">
      <c r="AN3514" s="71"/>
    </row>
    <row r="3516" spans="39:42">
      <c r="AO3516" s="71"/>
    </row>
    <row r="3517" spans="39:42">
      <c r="AO3517" s="71"/>
    </row>
    <row r="3518" spans="39:42">
      <c r="AP3518" s="71"/>
    </row>
    <row r="3519" spans="39:42">
      <c r="AP3519" s="71"/>
    </row>
    <row r="3523" spans="1:47">
      <c r="AQ3523" s="71"/>
    </row>
    <row r="3524" spans="1:47">
      <c r="AQ3524" s="71"/>
      <c r="AR3524" s="71"/>
    </row>
    <row r="3525" spans="1:47">
      <c r="AR3525" s="71"/>
      <c r="AS3525" s="71"/>
    </row>
    <row r="3526" spans="1:47">
      <c r="AS3526" s="71"/>
    </row>
    <row r="3527" spans="1:47">
      <c r="AT3527" s="71"/>
    </row>
    <row r="3528" spans="1:47">
      <c r="AT3528" s="71"/>
      <c r="AU3528" s="71"/>
    </row>
    <row r="3529" spans="1:47">
      <c r="AU3529" s="71"/>
    </row>
    <row r="3531" spans="1:47" s="71" customFormat="1">
      <c r="A3531" s="1"/>
      <c r="B3531" s="274"/>
      <c r="C3531" s="2"/>
      <c r="D3531" s="286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  <c r="X3531" s="2"/>
      <c r="Y3531" s="274"/>
      <c r="Z3531" s="2"/>
      <c r="AA3531" s="2"/>
      <c r="AB3531" s="2"/>
      <c r="AC3531" s="2"/>
      <c r="AD3531" s="2"/>
      <c r="AE3531" s="2"/>
      <c r="AF3531" s="2"/>
      <c r="AG3531" s="2"/>
      <c r="AH3531" s="2"/>
      <c r="AI3531" s="2"/>
      <c r="AJ3531" s="2"/>
      <c r="AK3531" s="2"/>
      <c r="AL3531" s="2"/>
      <c r="AM3531" s="2"/>
      <c r="AN3531" s="2"/>
      <c r="AO3531" s="2"/>
      <c r="AP3531" s="2"/>
      <c r="AQ3531" s="2"/>
      <c r="AR3531" s="2"/>
      <c r="AS3531" s="2"/>
      <c r="AT3531" s="2"/>
      <c r="AU3531" s="2"/>
    </row>
    <row r="3532" spans="1:47" s="71" customFormat="1">
      <c r="A3532" s="1"/>
      <c r="B3532" s="274"/>
      <c r="C3532" s="2"/>
      <c r="D3532" s="286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  <c r="X3532" s="2"/>
      <c r="Y3532" s="274"/>
      <c r="Z3532" s="2"/>
      <c r="AA3532" s="2"/>
      <c r="AB3532" s="2"/>
      <c r="AC3532" s="2"/>
      <c r="AD3532" s="2"/>
      <c r="AE3532" s="2"/>
      <c r="AF3532" s="2"/>
      <c r="AG3532" s="2"/>
      <c r="AH3532" s="2"/>
      <c r="AI3532" s="2"/>
      <c r="AJ3532" s="2"/>
      <c r="AK3532" s="2"/>
      <c r="AL3532" s="2"/>
      <c r="AM3532" s="2"/>
      <c r="AN3532" s="2"/>
      <c r="AO3532" s="2"/>
      <c r="AP3532" s="2"/>
      <c r="AQ3532" s="2"/>
      <c r="AR3532" s="2"/>
      <c r="AS3532" s="2"/>
      <c r="AT3532" s="2"/>
      <c r="AU3532" s="2"/>
    </row>
  </sheetData>
  <mergeCells count="207">
    <mergeCell ref="AB2516:AD2516"/>
    <mergeCell ref="B2516:E2516"/>
    <mergeCell ref="B2517:N2517"/>
    <mergeCell ref="B2518:N2518"/>
    <mergeCell ref="B2520:M2520"/>
    <mergeCell ref="C2088:D2088"/>
    <mergeCell ref="C2094:D2094"/>
    <mergeCell ref="C2101:D2101"/>
    <mergeCell ref="C2107:D2107"/>
    <mergeCell ref="C2114:D2114"/>
    <mergeCell ref="C2121:D2121"/>
    <mergeCell ref="C2041:D2041"/>
    <mergeCell ref="C2052:D2052"/>
    <mergeCell ref="C2059:D2059"/>
    <mergeCell ref="C2066:D2066"/>
    <mergeCell ref="C2073:D2073"/>
    <mergeCell ref="C2080:D2080"/>
    <mergeCell ref="C2514:D2514"/>
    <mergeCell ref="C2224:D2224"/>
    <mergeCell ref="C2250:D2250"/>
    <mergeCell ref="C2295:D2295"/>
    <mergeCell ref="C2400:D2400"/>
    <mergeCell ref="C2449:D2449"/>
    <mergeCell ref="C2513:D2513"/>
    <mergeCell ref="C2127:D2127"/>
    <mergeCell ref="C2134:D2134"/>
    <mergeCell ref="C2141:D2141"/>
    <mergeCell ref="C2148:D2148"/>
    <mergeCell ref="C2154:D2154"/>
    <mergeCell ref="C2190:D2190"/>
    <mergeCell ref="C1970:D1970"/>
    <mergeCell ref="C1981:D1981"/>
    <mergeCell ref="C1993:D1993"/>
    <mergeCell ref="C2004:D2004"/>
    <mergeCell ref="C2016:D2016"/>
    <mergeCell ref="C2027:D2027"/>
    <mergeCell ref="C1901:D1901"/>
    <mergeCell ref="C1912:D1912"/>
    <mergeCell ref="C1923:D1923"/>
    <mergeCell ref="C1934:D1934"/>
    <mergeCell ref="C1946:D1946"/>
    <mergeCell ref="C1959:D1959"/>
    <mergeCell ref="C1830:D1830"/>
    <mergeCell ref="C1845:D1845"/>
    <mergeCell ref="C1859:D1859"/>
    <mergeCell ref="C1869:D1869"/>
    <mergeCell ref="C1880:D1880"/>
    <mergeCell ref="C1890:D1890"/>
    <mergeCell ref="C1600:D1600"/>
    <mergeCell ref="C1618:D1618"/>
    <mergeCell ref="C1646:D1646"/>
    <mergeCell ref="C1673:D1673"/>
    <mergeCell ref="C1787:D1787"/>
    <mergeCell ref="C1804:D1804"/>
    <mergeCell ref="C1392:D1392"/>
    <mergeCell ref="C1420:D1420"/>
    <mergeCell ref="C1437:D1437"/>
    <mergeCell ref="C1470:D1470"/>
    <mergeCell ref="C1501:D1501"/>
    <mergeCell ref="C1545:D1545"/>
    <mergeCell ref="C999:D999"/>
    <mergeCell ref="C1009:D1009"/>
    <mergeCell ref="C1019:D1019"/>
    <mergeCell ref="C1026:D1026"/>
    <mergeCell ref="C1294:D1294"/>
    <mergeCell ref="C1348:D1348"/>
    <mergeCell ref="C939:D939"/>
    <mergeCell ref="C949:D949"/>
    <mergeCell ref="C959:D959"/>
    <mergeCell ref="C969:D969"/>
    <mergeCell ref="C979:D979"/>
    <mergeCell ref="C989:D989"/>
    <mergeCell ref="C880:D880"/>
    <mergeCell ref="C889:D889"/>
    <mergeCell ref="C899:D899"/>
    <mergeCell ref="C909:D909"/>
    <mergeCell ref="C919:D919"/>
    <mergeCell ref="C929:D929"/>
    <mergeCell ref="C821:D821"/>
    <mergeCell ref="C831:D831"/>
    <mergeCell ref="C841:D841"/>
    <mergeCell ref="C851:D851"/>
    <mergeCell ref="C861:D861"/>
    <mergeCell ref="C871:D871"/>
    <mergeCell ref="C683:D683"/>
    <mergeCell ref="C690:D690"/>
    <mergeCell ref="C765:D765"/>
    <mergeCell ref="C793:D793"/>
    <mergeCell ref="C801:D801"/>
    <mergeCell ref="C811:D811"/>
    <mergeCell ref="C638:D638"/>
    <mergeCell ref="C644:D644"/>
    <mergeCell ref="C651:D651"/>
    <mergeCell ref="C658:D658"/>
    <mergeCell ref="C667:D667"/>
    <mergeCell ref="C674:D674"/>
    <mergeCell ref="C600:D600"/>
    <mergeCell ref="C606:D606"/>
    <mergeCell ref="C612:D612"/>
    <mergeCell ref="C619:D619"/>
    <mergeCell ref="C626:D626"/>
    <mergeCell ref="C632:D632"/>
    <mergeCell ref="C559:D559"/>
    <mergeCell ref="C567:D567"/>
    <mergeCell ref="C573:D573"/>
    <mergeCell ref="C581:D581"/>
    <mergeCell ref="C588:D588"/>
    <mergeCell ref="C594:D594"/>
    <mergeCell ref="C525:D525"/>
    <mergeCell ref="C530:D530"/>
    <mergeCell ref="C536:D536"/>
    <mergeCell ref="C542:D542"/>
    <mergeCell ref="C547:D547"/>
    <mergeCell ref="C552:D552"/>
    <mergeCell ref="C488:D488"/>
    <mergeCell ref="C494:D494"/>
    <mergeCell ref="C500:D500"/>
    <mergeCell ref="C507:D507"/>
    <mergeCell ref="C514:D514"/>
    <mergeCell ref="C520:D520"/>
    <mergeCell ref="C453:D453"/>
    <mergeCell ref="C458:D458"/>
    <mergeCell ref="C465:D465"/>
    <mergeCell ref="C471:D471"/>
    <mergeCell ref="C477:D477"/>
    <mergeCell ref="C482:D482"/>
    <mergeCell ref="C417:D417"/>
    <mergeCell ref="C423:D423"/>
    <mergeCell ref="C429:D429"/>
    <mergeCell ref="C435:D435"/>
    <mergeCell ref="C441:D441"/>
    <mergeCell ref="C447:D447"/>
    <mergeCell ref="C380:D380"/>
    <mergeCell ref="C387:D387"/>
    <mergeCell ref="C393:D393"/>
    <mergeCell ref="C399:D399"/>
    <mergeCell ref="C404:D404"/>
    <mergeCell ref="C410:D410"/>
    <mergeCell ref="C346:D346"/>
    <mergeCell ref="C352:D352"/>
    <mergeCell ref="C357:D357"/>
    <mergeCell ref="C362:D362"/>
    <mergeCell ref="C369:D369"/>
    <mergeCell ref="C375:D375"/>
    <mergeCell ref="C317:D317"/>
    <mergeCell ref="C320:D320"/>
    <mergeCell ref="C325:D325"/>
    <mergeCell ref="C330:D330"/>
    <mergeCell ref="C336:D336"/>
    <mergeCell ref="C342:D342"/>
    <mergeCell ref="C281:D281"/>
    <mergeCell ref="C287:D287"/>
    <mergeCell ref="C293:D293"/>
    <mergeCell ref="C299:D299"/>
    <mergeCell ref="C306:D306"/>
    <mergeCell ref="C311:D311"/>
    <mergeCell ref="C244:D244"/>
    <mergeCell ref="C250:D250"/>
    <mergeCell ref="C256:D256"/>
    <mergeCell ref="C263:D263"/>
    <mergeCell ref="C270:D270"/>
    <mergeCell ref="C275:D275"/>
    <mergeCell ref="B1:AE1"/>
    <mergeCell ref="B2:AE2"/>
    <mergeCell ref="C208:D208"/>
    <mergeCell ref="C214:D214"/>
    <mergeCell ref="C220:D220"/>
    <mergeCell ref="C226:D226"/>
    <mergeCell ref="C232:D232"/>
    <mergeCell ref="C238:D238"/>
    <mergeCell ref="AC5:AD5"/>
    <mergeCell ref="C172:D172"/>
    <mergeCell ref="C178:D178"/>
    <mergeCell ref="C184:D184"/>
    <mergeCell ref="C190:D190"/>
    <mergeCell ref="C196:D196"/>
    <mergeCell ref="C202:D202"/>
    <mergeCell ref="C137:D137"/>
    <mergeCell ref="C142:D142"/>
    <mergeCell ref="C148:D148"/>
    <mergeCell ref="C154:D154"/>
    <mergeCell ref="C160:D160"/>
    <mergeCell ref="C166:D166"/>
    <mergeCell ref="R5:S6"/>
    <mergeCell ref="T5:X6"/>
    <mergeCell ref="B3:AE3"/>
    <mergeCell ref="J6:J7"/>
    <mergeCell ref="K6:K7"/>
    <mergeCell ref="N6:N7"/>
    <mergeCell ref="F5:G7"/>
    <mergeCell ref="H5:I7"/>
    <mergeCell ref="B5:B7"/>
    <mergeCell ref="C5:C7"/>
    <mergeCell ref="D5:D7"/>
    <mergeCell ref="E5:E7"/>
    <mergeCell ref="J5:K5"/>
    <mergeCell ref="L5:L7"/>
    <mergeCell ref="M5:M7"/>
    <mergeCell ref="O6:Q6"/>
    <mergeCell ref="AA6:AA7"/>
    <mergeCell ref="AB6:AB7"/>
    <mergeCell ref="N5:Q5"/>
    <mergeCell ref="Y5:Y7"/>
    <mergeCell ref="Z5:Z7"/>
    <mergeCell ref="AA5:AB5"/>
    <mergeCell ref="AC6:AC7"/>
    <mergeCell ref="AD6:AD7"/>
  </mergeCells>
  <pageMargins left="0.21" right="0.2" top="0.75" bottom="0.75" header="0.3" footer="0.3"/>
  <pageSetup paperSize="5" scale="60" orientation="landscape" horizontalDpi="4294967293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APBD ALL</vt:lpstr>
      <vt:lpstr>'APBD ALL'!Print_Titles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ulp1</cp:lastModifiedBy>
  <cp:lastPrinted>2016-04-15T00:23:24Z</cp:lastPrinted>
  <dcterms:created xsi:type="dcterms:W3CDTF">2015-04-20T04:12:53Z</dcterms:created>
  <dcterms:modified xsi:type="dcterms:W3CDTF">2016-04-28T02:12:25Z</dcterms:modified>
</cp:coreProperties>
</file>